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9165" firstSheet="11" activeTab="12"/>
  </bookViews>
  <sheets>
    <sheet name="ბენეფიციარები" sheetId="8" r:id="rId1"/>
    <sheet name="ჯამური ბიუჯეტი" sheetId="7" r:id="rId2"/>
    <sheet name="ხარჯი ერთ პაციენტზე გათვლით" sheetId="9" r:id="rId3"/>
    <sheet name="გულ-სისხლძარღვთა-პროგნოზი" sheetId="2" r:id="rId4"/>
    <sheet name="პარკინსონი-ეპილეფსია-პროგნოზი" sheetId="3" r:id="rId5"/>
    <sheet name="ფილტვი-პროგნოზი" sheetId="6" r:id="rId6"/>
    <sheet name="დიაბეტი-პროგნოზი" sheetId="4" r:id="rId7"/>
    <sheet name="ფარისებრი-პროგნოზი" sheetId="5" r:id="rId8"/>
    <sheet name="მედიკამენტების ხარჯვა-არსებული" sheetId="1" r:id="rId9"/>
    <sheet name="მედიკამენტ ხარჯვა-მიმართულ-ჯამი" sheetId="13" r:id="rId10"/>
    <sheet name="მედიკამენტ.ხარჯვა-ჯამური" sheetId="14" r:id="rId11"/>
    <sheet name="მედიკამენტის ხარჯვა სტატუსის მი" sheetId="10" r:id="rId12"/>
    <sheet name="Sheet1" sheetId="15" r:id="rId13"/>
    <sheet name="ბენეფიც-ხარჯვა-ზოგ. ტენდენცია" sheetId="11" r:id="rId14"/>
    <sheet name="Sheet3" sheetId="12" r:id="rId15"/>
  </sheets>
  <externalReferences>
    <externalReference r:id="rId1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J5" i="10" l="1"/>
  <c r="CJ6" i="10"/>
  <c r="CJ7" i="10"/>
  <c r="CJ8" i="10"/>
  <c r="CJ9" i="10"/>
  <c r="CJ10" i="10"/>
  <c r="CJ11" i="10"/>
  <c r="CJ12" i="10"/>
  <c r="CJ13" i="10"/>
  <c r="CJ14" i="10"/>
  <c r="CJ15" i="10"/>
  <c r="CJ16" i="10"/>
  <c r="CJ17" i="10"/>
  <c r="CJ18" i="10"/>
  <c r="CJ19" i="10"/>
  <c r="CJ20" i="10"/>
  <c r="CJ21" i="10"/>
  <c r="CJ22" i="10"/>
  <c r="CJ23" i="10"/>
  <c r="CJ24" i="10"/>
  <c r="CJ25" i="10"/>
  <c r="CJ26" i="10"/>
  <c r="CJ27" i="10"/>
  <c r="CJ28" i="10"/>
  <c r="CJ29" i="10"/>
  <c r="CJ30" i="10"/>
  <c r="CJ31" i="10"/>
  <c r="CJ32" i="10"/>
  <c r="CJ33" i="10"/>
  <c r="CJ34" i="10"/>
  <c r="CJ35" i="10"/>
  <c r="CJ36" i="10"/>
  <c r="CJ37" i="10"/>
  <c r="CJ38" i="10"/>
  <c r="CJ39" i="10"/>
  <c r="CJ40" i="10"/>
  <c r="CJ41" i="10"/>
  <c r="CJ42" i="10"/>
  <c r="CJ43" i="10"/>
  <c r="CJ44" i="10"/>
  <c r="CJ45" i="10"/>
  <c r="CJ46" i="10"/>
  <c r="CJ47" i="10"/>
  <c r="CJ48" i="10"/>
  <c r="CJ49" i="10"/>
  <c r="CJ50" i="10"/>
  <c r="CJ51" i="10"/>
  <c r="CJ52" i="10"/>
  <c r="CJ53" i="10"/>
  <c r="CJ54" i="10"/>
  <c r="CJ3" i="10"/>
  <c r="CF4" i="10"/>
  <c r="CF5" i="10"/>
  <c r="CF6" i="10"/>
  <c r="CF7" i="10"/>
  <c r="CF8" i="10"/>
  <c r="CF9" i="10"/>
  <c r="CF10" i="10"/>
  <c r="CF11" i="10"/>
  <c r="CF12" i="10"/>
  <c r="CF13" i="10"/>
  <c r="CF14" i="10"/>
  <c r="CF15" i="10"/>
  <c r="CF16" i="10"/>
  <c r="CF17" i="10"/>
  <c r="CF18" i="10"/>
  <c r="CF19" i="10"/>
  <c r="CF20" i="10"/>
  <c r="CF21" i="10"/>
  <c r="CF22" i="10"/>
  <c r="CF23" i="10"/>
  <c r="CF24" i="10"/>
  <c r="CF25" i="10"/>
  <c r="CF26" i="10"/>
  <c r="CF27" i="10"/>
  <c r="CF28" i="10"/>
  <c r="CF29" i="10"/>
  <c r="CF30" i="10"/>
  <c r="CF31" i="10"/>
  <c r="CF32" i="10"/>
  <c r="CF33" i="10"/>
  <c r="CF34" i="10"/>
  <c r="CF35" i="10"/>
  <c r="CF36" i="10"/>
  <c r="CF37" i="10"/>
  <c r="CF38" i="10"/>
  <c r="CF39" i="10"/>
  <c r="CF40" i="10"/>
  <c r="CF41" i="10"/>
  <c r="CF42" i="10"/>
  <c r="CF43" i="10"/>
  <c r="CF44" i="10"/>
  <c r="CF45" i="10"/>
  <c r="CF46" i="10"/>
  <c r="CF47" i="10"/>
  <c r="CF48" i="10"/>
  <c r="CF49" i="10"/>
  <c r="CF50" i="10"/>
  <c r="CF51" i="10"/>
  <c r="CF52" i="10"/>
  <c r="CF53" i="10"/>
  <c r="CF54" i="10"/>
  <c r="CF3" i="10"/>
  <c r="CB4" i="10"/>
  <c r="CB3" i="10"/>
  <c r="CH4" i="10"/>
  <c r="CH5" i="10"/>
  <c r="CH6" i="10"/>
  <c r="CH7" i="10"/>
  <c r="CH8" i="10"/>
  <c r="CH9" i="10"/>
  <c r="CH10" i="10"/>
  <c r="CH11" i="10"/>
  <c r="CH12" i="10"/>
  <c r="CH13" i="10"/>
  <c r="CH14" i="10"/>
  <c r="CH15" i="10"/>
  <c r="CH16" i="10"/>
  <c r="CH17" i="10"/>
  <c r="CH18" i="10"/>
  <c r="CH19" i="10"/>
  <c r="CH20" i="10"/>
  <c r="CH21" i="10"/>
  <c r="CH22" i="10"/>
  <c r="CH23" i="10"/>
  <c r="CH24" i="10"/>
  <c r="CH25" i="10"/>
  <c r="CH26" i="10"/>
  <c r="CH27" i="10"/>
  <c r="CH28" i="10"/>
  <c r="CH29" i="10"/>
  <c r="CH30" i="10"/>
  <c r="CH31" i="10"/>
  <c r="CH32" i="10"/>
  <c r="CH33" i="10"/>
  <c r="CH34" i="10"/>
  <c r="CH35" i="10"/>
  <c r="CH36" i="10"/>
  <c r="CH37" i="10"/>
  <c r="CH38" i="10"/>
  <c r="CH39" i="10"/>
  <c r="CH40" i="10"/>
  <c r="CH41" i="10"/>
  <c r="CH42" i="10"/>
  <c r="CH43" i="10"/>
  <c r="CH44" i="10"/>
  <c r="CH45" i="10"/>
  <c r="CH46" i="10"/>
  <c r="CH47" i="10"/>
  <c r="CH48" i="10"/>
  <c r="CH49" i="10"/>
  <c r="CH50" i="10"/>
  <c r="CH51" i="10"/>
  <c r="CH52" i="10"/>
  <c r="CH53" i="10"/>
  <c r="CH54" i="10"/>
  <c r="CH3" i="10"/>
  <c r="CD4" i="10"/>
  <c r="CD5" i="10"/>
  <c r="CD6" i="10"/>
  <c r="CD7" i="10"/>
  <c r="CD8" i="10"/>
  <c r="CD9" i="10"/>
  <c r="CD10" i="10"/>
  <c r="CD11" i="10"/>
  <c r="CD12" i="10"/>
  <c r="CD13" i="10"/>
  <c r="CD14" i="10"/>
  <c r="CD15" i="10"/>
  <c r="CD16" i="10"/>
  <c r="CD17" i="10"/>
  <c r="CD18" i="10"/>
  <c r="CD19" i="10"/>
  <c r="CD20" i="10"/>
  <c r="CD21" i="10"/>
  <c r="CD22" i="10"/>
  <c r="CD23" i="10"/>
  <c r="CD24" i="10"/>
  <c r="CD25" i="10"/>
  <c r="CD26" i="10"/>
  <c r="CD27" i="10"/>
  <c r="CD28" i="10"/>
  <c r="CD29" i="10"/>
  <c r="CD30" i="10"/>
  <c r="CD31" i="10"/>
  <c r="CD32" i="10"/>
  <c r="CD33" i="10"/>
  <c r="CD34" i="10"/>
  <c r="CD35" i="10"/>
  <c r="CD36" i="10"/>
  <c r="CD37" i="10"/>
  <c r="CD38" i="10"/>
  <c r="CD39" i="10"/>
  <c r="CD40" i="10"/>
  <c r="CD41" i="10"/>
  <c r="CD42" i="10"/>
  <c r="CD43" i="10"/>
  <c r="CD44" i="10"/>
  <c r="CD45" i="10"/>
  <c r="CD46" i="10"/>
  <c r="CD47" i="10"/>
  <c r="CD48" i="10"/>
  <c r="CD49" i="10"/>
  <c r="CD50" i="10"/>
  <c r="CD51" i="10"/>
  <c r="CD52" i="10"/>
  <c r="CD53" i="10"/>
  <c r="CD54" i="10"/>
  <c r="CD3" i="10"/>
  <c r="BZ4" i="10"/>
  <c r="BZ5" i="10"/>
  <c r="BZ6" i="10"/>
  <c r="BZ7" i="10"/>
  <c r="BZ8" i="10"/>
  <c r="BZ9" i="10"/>
  <c r="BZ10" i="10"/>
  <c r="BZ11" i="10"/>
  <c r="BZ12" i="10"/>
  <c r="BZ13" i="10"/>
  <c r="BZ14" i="10"/>
  <c r="BZ15" i="10"/>
  <c r="BZ16" i="10"/>
  <c r="BZ17" i="10"/>
  <c r="BZ18" i="10"/>
  <c r="BZ19" i="10"/>
  <c r="BZ20" i="10"/>
  <c r="BZ21" i="10"/>
  <c r="BZ22" i="10"/>
  <c r="BZ23" i="10"/>
  <c r="BZ24" i="10"/>
  <c r="BZ25" i="10"/>
  <c r="BZ26" i="10"/>
  <c r="BZ27" i="10"/>
  <c r="BZ28" i="10"/>
  <c r="BZ29" i="10"/>
  <c r="BZ30" i="10"/>
  <c r="BZ31" i="10"/>
  <c r="BZ32" i="10"/>
  <c r="BZ33" i="10"/>
  <c r="BZ34" i="10"/>
  <c r="BZ35" i="10"/>
  <c r="BZ36" i="10"/>
  <c r="BZ37" i="10"/>
  <c r="BZ38" i="10"/>
  <c r="BZ39" i="10"/>
  <c r="BZ40" i="10"/>
  <c r="BZ41" i="10"/>
  <c r="BZ42" i="10"/>
  <c r="BZ43" i="10"/>
  <c r="BZ44" i="10"/>
  <c r="BZ45" i="10"/>
  <c r="BZ46" i="10"/>
  <c r="BZ47" i="10"/>
  <c r="BZ48" i="10"/>
  <c r="BZ49" i="10"/>
  <c r="BZ50" i="10"/>
  <c r="BZ51" i="10"/>
  <c r="BZ52" i="10"/>
  <c r="BZ53" i="10"/>
  <c r="BZ54" i="10"/>
  <c r="BZ3" i="10"/>
  <c r="CI4" i="10"/>
  <c r="CE4" i="10"/>
  <c r="CG5" i="10" l="1"/>
  <c r="CI5" i="10" s="1"/>
  <c r="CG6" i="10"/>
  <c r="CI6" i="10" s="1"/>
  <c r="CG7" i="10"/>
  <c r="CI7" i="10" s="1"/>
  <c r="CG8" i="10"/>
  <c r="CI8" i="10" s="1"/>
  <c r="CG9" i="10"/>
  <c r="CI9" i="10" s="1"/>
  <c r="CG10" i="10"/>
  <c r="CI10" i="10" s="1"/>
  <c r="CG11" i="10"/>
  <c r="CI11" i="10" s="1"/>
  <c r="CG12" i="10"/>
  <c r="CI12" i="10" s="1"/>
  <c r="CG13" i="10"/>
  <c r="CI13" i="10" s="1"/>
  <c r="CG14" i="10"/>
  <c r="CI14" i="10" s="1"/>
  <c r="CG15" i="10"/>
  <c r="CI15" i="10" s="1"/>
  <c r="CG16" i="10"/>
  <c r="CI16" i="10" s="1"/>
  <c r="CG17" i="10"/>
  <c r="CI17" i="10" s="1"/>
  <c r="CG18" i="10"/>
  <c r="CI18" i="10" s="1"/>
  <c r="CG19" i="10"/>
  <c r="CI19" i="10" s="1"/>
  <c r="CG20" i="10"/>
  <c r="CI20" i="10" s="1"/>
  <c r="CG21" i="10"/>
  <c r="CI21" i="10" s="1"/>
  <c r="CG22" i="10"/>
  <c r="CI22" i="10" s="1"/>
  <c r="CG23" i="10"/>
  <c r="CI23" i="10" s="1"/>
  <c r="CG24" i="10"/>
  <c r="CI24" i="10" s="1"/>
  <c r="CG25" i="10"/>
  <c r="CI25" i="10" s="1"/>
  <c r="CG26" i="10"/>
  <c r="CI26" i="10" s="1"/>
  <c r="CG27" i="10"/>
  <c r="CI27" i="10" s="1"/>
  <c r="CG28" i="10"/>
  <c r="CI28" i="10" s="1"/>
  <c r="CG29" i="10"/>
  <c r="CI29" i="10" s="1"/>
  <c r="CG30" i="10"/>
  <c r="CI30" i="10" s="1"/>
  <c r="CG31" i="10"/>
  <c r="CI31" i="10" s="1"/>
  <c r="CG32" i="10"/>
  <c r="CI32" i="10" s="1"/>
  <c r="CG33" i="10"/>
  <c r="CI33" i="10" s="1"/>
  <c r="CG34" i="10"/>
  <c r="CI34" i="10" s="1"/>
  <c r="CG35" i="10"/>
  <c r="CI35" i="10" s="1"/>
  <c r="CG36" i="10"/>
  <c r="CI36" i="10" s="1"/>
  <c r="CG37" i="10"/>
  <c r="CI37" i="10" s="1"/>
  <c r="CG38" i="10"/>
  <c r="CI38" i="10" s="1"/>
  <c r="CG39" i="10"/>
  <c r="CI39" i="10" s="1"/>
  <c r="CG40" i="10"/>
  <c r="CI40" i="10" s="1"/>
  <c r="CG41" i="10"/>
  <c r="CI41" i="10" s="1"/>
  <c r="CG42" i="10"/>
  <c r="CI42" i="10" s="1"/>
  <c r="CG43" i="10"/>
  <c r="CI43" i="10" s="1"/>
  <c r="CG44" i="10"/>
  <c r="CI44" i="10" s="1"/>
  <c r="CG45" i="10"/>
  <c r="CI45" i="10" s="1"/>
  <c r="CG46" i="10"/>
  <c r="CI46" i="10" s="1"/>
  <c r="CG47" i="10"/>
  <c r="CI47" i="10" s="1"/>
  <c r="CG48" i="10"/>
  <c r="CI48" i="10" s="1"/>
  <c r="CG49" i="10"/>
  <c r="CI49" i="10" s="1"/>
  <c r="CG50" i="10"/>
  <c r="CI50" i="10" s="1"/>
  <c r="CG51" i="10"/>
  <c r="CI51" i="10" s="1"/>
  <c r="CG52" i="10"/>
  <c r="CI52" i="10" s="1"/>
  <c r="CG53" i="10"/>
  <c r="CI53" i="10" s="1"/>
  <c r="CG54" i="10"/>
  <c r="CI54" i="10" s="1"/>
  <c r="CC5" i="10"/>
  <c r="CE5" i="10" s="1"/>
  <c r="CC6" i="10"/>
  <c r="CE6" i="10" s="1"/>
  <c r="CC7" i="10"/>
  <c r="CE7" i="10" s="1"/>
  <c r="CC8" i="10"/>
  <c r="CE8" i="10" s="1"/>
  <c r="CC9" i="10"/>
  <c r="CE9" i="10" s="1"/>
  <c r="CC10" i="10"/>
  <c r="CE10" i="10" s="1"/>
  <c r="CC11" i="10"/>
  <c r="CE11" i="10" s="1"/>
  <c r="CC12" i="10"/>
  <c r="CE12" i="10" s="1"/>
  <c r="CC13" i="10"/>
  <c r="CE13" i="10" s="1"/>
  <c r="CC14" i="10"/>
  <c r="CE14" i="10" s="1"/>
  <c r="CC15" i="10"/>
  <c r="CE15" i="10" s="1"/>
  <c r="CC16" i="10"/>
  <c r="CE16" i="10" s="1"/>
  <c r="CC17" i="10"/>
  <c r="CE17" i="10" s="1"/>
  <c r="CC18" i="10"/>
  <c r="CE18" i="10" s="1"/>
  <c r="CC19" i="10"/>
  <c r="CE19" i="10" s="1"/>
  <c r="CC20" i="10"/>
  <c r="CE20" i="10" s="1"/>
  <c r="CC21" i="10"/>
  <c r="CE21" i="10" s="1"/>
  <c r="CC22" i="10"/>
  <c r="CE22" i="10" s="1"/>
  <c r="CC23" i="10"/>
  <c r="CE23" i="10" s="1"/>
  <c r="CC24" i="10"/>
  <c r="CE24" i="10" s="1"/>
  <c r="CC25" i="10"/>
  <c r="CE25" i="10" s="1"/>
  <c r="CC26" i="10"/>
  <c r="CE26" i="10" s="1"/>
  <c r="CC27" i="10"/>
  <c r="CE27" i="10" s="1"/>
  <c r="CC28" i="10"/>
  <c r="CE28" i="10" s="1"/>
  <c r="CC29" i="10"/>
  <c r="CE29" i="10" s="1"/>
  <c r="CC30" i="10"/>
  <c r="CE30" i="10" s="1"/>
  <c r="CC31" i="10"/>
  <c r="CE31" i="10" s="1"/>
  <c r="CC32" i="10"/>
  <c r="CE32" i="10" s="1"/>
  <c r="CC33" i="10"/>
  <c r="CE33" i="10" s="1"/>
  <c r="CC34" i="10"/>
  <c r="CE34" i="10" s="1"/>
  <c r="CC35" i="10"/>
  <c r="CE35" i="10" s="1"/>
  <c r="CC36" i="10"/>
  <c r="CE36" i="10" s="1"/>
  <c r="CC37" i="10"/>
  <c r="CE37" i="10" s="1"/>
  <c r="CC38" i="10"/>
  <c r="CE38" i="10" s="1"/>
  <c r="CC39" i="10"/>
  <c r="CE39" i="10" s="1"/>
  <c r="CC40" i="10"/>
  <c r="CE40" i="10" s="1"/>
  <c r="CC41" i="10"/>
  <c r="CE41" i="10" s="1"/>
  <c r="CC42" i="10"/>
  <c r="CE42" i="10" s="1"/>
  <c r="CC43" i="10"/>
  <c r="CE43" i="10" s="1"/>
  <c r="CC44" i="10"/>
  <c r="CE44" i="10" s="1"/>
  <c r="CC45" i="10"/>
  <c r="CE45" i="10" s="1"/>
  <c r="CC46" i="10"/>
  <c r="CE46" i="10" s="1"/>
  <c r="CC47" i="10"/>
  <c r="CE47" i="10" s="1"/>
  <c r="CC48" i="10"/>
  <c r="CE48" i="10" s="1"/>
  <c r="CC49" i="10"/>
  <c r="CE49" i="10" s="1"/>
  <c r="CC50" i="10"/>
  <c r="CE50" i="10" s="1"/>
  <c r="CC51" i="10"/>
  <c r="CE51" i="10" s="1"/>
  <c r="CC52" i="10"/>
  <c r="CE52" i="10" s="1"/>
  <c r="CC53" i="10"/>
  <c r="CE53" i="10" s="1"/>
  <c r="CC54" i="10"/>
  <c r="CE54" i="10" s="1"/>
  <c r="BY5" i="10"/>
  <c r="CA5" i="10" s="1"/>
  <c r="CB5" i="10" s="1"/>
  <c r="BY6" i="10"/>
  <c r="CA6" i="10" s="1"/>
  <c r="CB6" i="10" s="1"/>
  <c r="BY7" i="10"/>
  <c r="CA7" i="10" s="1"/>
  <c r="CB7" i="10" s="1"/>
  <c r="BY8" i="10"/>
  <c r="CA8" i="10" s="1"/>
  <c r="CB8" i="10" s="1"/>
  <c r="BY9" i="10"/>
  <c r="CA9" i="10" s="1"/>
  <c r="CB9" i="10" s="1"/>
  <c r="BY10" i="10"/>
  <c r="CA10" i="10" s="1"/>
  <c r="CB10" i="10" s="1"/>
  <c r="BY11" i="10"/>
  <c r="CA11" i="10" s="1"/>
  <c r="CB11" i="10" s="1"/>
  <c r="BY12" i="10"/>
  <c r="CA12" i="10" s="1"/>
  <c r="CB12" i="10" s="1"/>
  <c r="BY13" i="10"/>
  <c r="CA13" i="10" s="1"/>
  <c r="CB13" i="10" s="1"/>
  <c r="BY14" i="10"/>
  <c r="CA14" i="10" s="1"/>
  <c r="CB14" i="10" s="1"/>
  <c r="BY15" i="10"/>
  <c r="CA15" i="10" s="1"/>
  <c r="CB15" i="10" s="1"/>
  <c r="BY16" i="10"/>
  <c r="CA16" i="10" s="1"/>
  <c r="CB16" i="10" s="1"/>
  <c r="BY17" i="10"/>
  <c r="CA17" i="10" s="1"/>
  <c r="CB17" i="10" s="1"/>
  <c r="BY18" i="10"/>
  <c r="CA18" i="10" s="1"/>
  <c r="CB18" i="10" s="1"/>
  <c r="BY19" i="10"/>
  <c r="CA19" i="10" s="1"/>
  <c r="CB19" i="10" s="1"/>
  <c r="BY20" i="10"/>
  <c r="CA20" i="10" s="1"/>
  <c r="CB20" i="10" s="1"/>
  <c r="BY21" i="10"/>
  <c r="CA21" i="10" s="1"/>
  <c r="CB21" i="10" s="1"/>
  <c r="BY22" i="10"/>
  <c r="CA22" i="10" s="1"/>
  <c r="CB22" i="10" s="1"/>
  <c r="BY23" i="10"/>
  <c r="CA23" i="10" s="1"/>
  <c r="CB23" i="10" s="1"/>
  <c r="BY24" i="10"/>
  <c r="CA24" i="10" s="1"/>
  <c r="CB24" i="10" s="1"/>
  <c r="BY25" i="10"/>
  <c r="CA25" i="10" s="1"/>
  <c r="CB25" i="10" s="1"/>
  <c r="BY26" i="10"/>
  <c r="CA26" i="10" s="1"/>
  <c r="CB26" i="10" s="1"/>
  <c r="BY27" i="10"/>
  <c r="CA27" i="10" s="1"/>
  <c r="CB27" i="10" s="1"/>
  <c r="BY28" i="10"/>
  <c r="CA28" i="10" s="1"/>
  <c r="CB28" i="10" s="1"/>
  <c r="BY29" i="10"/>
  <c r="CA29" i="10" s="1"/>
  <c r="CB29" i="10" s="1"/>
  <c r="BY30" i="10"/>
  <c r="CA30" i="10" s="1"/>
  <c r="CB30" i="10" s="1"/>
  <c r="BY31" i="10"/>
  <c r="CA31" i="10" s="1"/>
  <c r="CB31" i="10" s="1"/>
  <c r="BY32" i="10"/>
  <c r="CA32" i="10" s="1"/>
  <c r="CB32" i="10" s="1"/>
  <c r="BY33" i="10"/>
  <c r="CA33" i="10" s="1"/>
  <c r="CB33" i="10" s="1"/>
  <c r="BY34" i="10"/>
  <c r="CA34" i="10" s="1"/>
  <c r="CB34" i="10" s="1"/>
  <c r="BY35" i="10"/>
  <c r="CA35" i="10" s="1"/>
  <c r="CB35" i="10" s="1"/>
  <c r="BY36" i="10"/>
  <c r="CA36" i="10" s="1"/>
  <c r="CB36" i="10" s="1"/>
  <c r="BY37" i="10"/>
  <c r="CA37" i="10" s="1"/>
  <c r="CB37" i="10" s="1"/>
  <c r="BY38" i="10"/>
  <c r="CA38" i="10" s="1"/>
  <c r="CB38" i="10" s="1"/>
  <c r="BY39" i="10"/>
  <c r="CA39" i="10" s="1"/>
  <c r="CB39" i="10" s="1"/>
  <c r="BY40" i="10"/>
  <c r="CA40" i="10" s="1"/>
  <c r="CB40" i="10" s="1"/>
  <c r="BY41" i="10"/>
  <c r="CA41" i="10" s="1"/>
  <c r="CB41" i="10" s="1"/>
  <c r="BY42" i="10"/>
  <c r="CA42" i="10" s="1"/>
  <c r="CB42" i="10" s="1"/>
  <c r="BY43" i="10"/>
  <c r="CA43" i="10" s="1"/>
  <c r="CB43" i="10" s="1"/>
  <c r="BY44" i="10"/>
  <c r="CA44" i="10" s="1"/>
  <c r="CB44" i="10" s="1"/>
  <c r="BY45" i="10"/>
  <c r="CA45" i="10" s="1"/>
  <c r="CB45" i="10" s="1"/>
  <c r="BY46" i="10"/>
  <c r="CA46" i="10" s="1"/>
  <c r="CB46" i="10" s="1"/>
  <c r="BY47" i="10"/>
  <c r="CA47" i="10" s="1"/>
  <c r="CB47" i="10" s="1"/>
  <c r="BY48" i="10"/>
  <c r="CA48" i="10" s="1"/>
  <c r="CB48" i="10" s="1"/>
  <c r="BY49" i="10"/>
  <c r="CA49" i="10" s="1"/>
  <c r="CB49" i="10" s="1"/>
  <c r="BY50" i="10"/>
  <c r="CA50" i="10" s="1"/>
  <c r="CB50" i="10" s="1"/>
  <c r="BY51" i="10"/>
  <c r="CA51" i="10" s="1"/>
  <c r="CB51" i="10" s="1"/>
  <c r="BY52" i="10"/>
  <c r="CA52" i="10" s="1"/>
  <c r="CB52" i="10" s="1"/>
  <c r="BY53" i="10"/>
  <c r="CA53" i="10" s="1"/>
  <c r="CB53" i="10" s="1"/>
  <c r="BY54" i="10"/>
  <c r="CA54" i="10" s="1"/>
  <c r="CB54" i="10" s="1"/>
  <c r="BY56" i="10"/>
  <c r="CC3" i="10"/>
  <c r="CE3" i="10" s="1"/>
  <c r="CE55" i="10" s="1"/>
  <c r="E7" i="15" s="1"/>
  <c r="G7" i="15" s="1"/>
  <c r="CG3" i="10"/>
  <c r="CI3" i="10" s="1"/>
  <c r="BY3" i="10"/>
  <c r="CA3" i="10" s="1"/>
  <c r="CI55" i="10" l="1"/>
  <c r="E8" i="15" s="1"/>
  <c r="G8" i="15" s="1"/>
  <c r="CA55" i="10"/>
  <c r="E6" i="15" s="1"/>
  <c r="G6" i="15" s="1"/>
  <c r="C20" i="7"/>
  <c r="C11" i="7"/>
  <c r="B10" i="7"/>
  <c r="H4" i="14"/>
  <c r="H5" i="14"/>
  <c r="H6" i="14"/>
  <c r="H7" i="14"/>
  <c r="H3" i="14"/>
  <c r="I7" i="14"/>
  <c r="I6" i="14"/>
  <c r="I5" i="14"/>
  <c r="I4" i="14"/>
  <c r="I3" i="14"/>
  <c r="G7" i="14"/>
  <c r="G6" i="14"/>
  <c r="G5" i="14"/>
  <c r="G4" i="14"/>
  <c r="G3" i="14"/>
  <c r="F7" i="14"/>
  <c r="F6" i="14"/>
  <c r="F5" i="14"/>
  <c r="F4" i="14"/>
  <c r="F3" i="14"/>
  <c r="E7" i="14"/>
  <c r="E6" i="14"/>
  <c r="E5" i="14"/>
  <c r="E4" i="14"/>
  <c r="E3" i="14"/>
  <c r="C7" i="14"/>
  <c r="C6" i="14"/>
  <c r="C5" i="14"/>
  <c r="C4" i="14"/>
  <c r="C3" i="14"/>
  <c r="AQ39" i="13"/>
  <c r="AQ37" i="13"/>
  <c r="AQ30" i="13"/>
  <c r="AQ28" i="13"/>
  <c r="AQ25" i="13"/>
  <c r="AQ3" i="13"/>
  <c r="AP4" i="13"/>
  <c r="AP5" i="13"/>
  <c r="AP6" i="13"/>
  <c r="AP7" i="13"/>
  <c r="AP8" i="13"/>
  <c r="AP9" i="13"/>
  <c r="AP10" i="13"/>
  <c r="AP11" i="13"/>
  <c r="AP12" i="13"/>
  <c r="AP13" i="13"/>
  <c r="AP14" i="13"/>
  <c r="AP15" i="13"/>
  <c r="AP16" i="13"/>
  <c r="AP17" i="13"/>
  <c r="AP18" i="13"/>
  <c r="AP19" i="13"/>
  <c r="AP20" i="13"/>
  <c r="AP21" i="13"/>
  <c r="AP22" i="13"/>
  <c r="AP23" i="13"/>
  <c r="AP24" i="13"/>
  <c r="AP25" i="13"/>
  <c r="AP26" i="13"/>
  <c r="AP27" i="13"/>
  <c r="AP28" i="13"/>
  <c r="AP29" i="13"/>
  <c r="AP30" i="13"/>
  <c r="AP31" i="13"/>
  <c r="AP32" i="13"/>
  <c r="AP33" i="13"/>
  <c r="AP34" i="13"/>
  <c r="AP35" i="13"/>
  <c r="AP36" i="13"/>
  <c r="AP37" i="13"/>
  <c r="AP38" i="13"/>
  <c r="AP39" i="13"/>
  <c r="AP40" i="13"/>
  <c r="AP41" i="13"/>
  <c r="AP42" i="13"/>
  <c r="AP43" i="13"/>
  <c r="AP44" i="13"/>
  <c r="AP3" i="13"/>
  <c r="AJ39" i="13"/>
  <c r="AD39" i="13"/>
  <c r="AJ37" i="13"/>
  <c r="AJ30" i="13"/>
  <c r="AJ28" i="13"/>
  <c r="AJ3" i="13"/>
  <c r="AJ25" i="13"/>
  <c r="AI4" i="13"/>
  <c r="AI5" i="13"/>
  <c r="AI6" i="13"/>
  <c r="AI7" i="13"/>
  <c r="AI8" i="13"/>
  <c r="AI9" i="13"/>
  <c r="AI10" i="13"/>
  <c r="AI11" i="13"/>
  <c r="AI12" i="13"/>
  <c r="AI13" i="13"/>
  <c r="AI14" i="13"/>
  <c r="AI15" i="13"/>
  <c r="AI16" i="13"/>
  <c r="AI17" i="13"/>
  <c r="AI18" i="13"/>
  <c r="AI19" i="13"/>
  <c r="AI20" i="13"/>
  <c r="AI21" i="13"/>
  <c r="AI22" i="13"/>
  <c r="AI23" i="13"/>
  <c r="AI24" i="13"/>
  <c r="AI25" i="13"/>
  <c r="AI26" i="13"/>
  <c r="AI27" i="13"/>
  <c r="AI28" i="13"/>
  <c r="AI29" i="13"/>
  <c r="AI30" i="13"/>
  <c r="AI31" i="13"/>
  <c r="AI32" i="13"/>
  <c r="AI33" i="13"/>
  <c r="AI34" i="13"/>
  <c r="AI35" i="13"/>
  <c r="AI36" i="13"/>
  <c r="AI37" i="13"/>
  <c r="AI38" i="13"/>
  <c r="AI39" i="13"/>
  <c r="AI40" i="13"/>
  <c r="AI41" i="13"/>
  <c r="AI42" i="13"/>
  <c r="AI43" i="13"/>
  <c r="AI44" i="13"/>
  <c r="AI3" i="13"/>
  <c r="AD37" i="13"/>
  <c r="AD30" i="13"/>
  <c r="AD28" i="13"/>
  <c r="AD25" i="13"/>
  <c r="AD3" i="13"/>
  <c r="AC4" i="13"/>
  <c r="AC5" i="13"/>
  <c r="AC6" i="13"/>
  <c r="AC7" i="13"/>
  <c r="AC8" i="13"/>
  <c r="AC9" i="13"/>
  <c r="AC10" i="13"/>
  <c r="AC11" i="13"/>
  <c r="AC12" i="13"/>
  <c r="AC13" i="13"/>
  <c r="AC14" i="13"/>
  <c r="AC15" i="13"/>
  <c r="AC16" i="13"/>
  <c r="AC17" i="13"/>
  <c r="AC18" i="13"/>
  <c r="AC19" i="13"/>
  <c r="AC20" i="13"/>
  <c r="AC21" i="13"/>
  <c r="AC22" i="13"/>
  <c r="AC23" i="13"/>
  <c r="AC24" i="13"/>
  <c r="AC25" i="13"/>
  <c r="AC26" i="13"/>
  <c r="AC27" i="13"/>
  <c r="AC28" i="13"/>
  <c r="AC29" i="13"/>
  <c r="AC30" i="13"/>
  <c r="AC31" i="13"/>
  <c r="AC32" i="13"/>
  <c r="AC33" i="13"/>
  <c r="AC34" i="13"/>
  <c r="AC35" i="13"/>
  <c r="AR35" i="13" s="1"/>
  <c r="AT35" i="13" s="1"/>
  <c r="AC36" i="13"/>
  <c r="AC37" i="13"/>
  <c r="AC38" i="13"/>
  <c r="AC39" i="13"/>
  <c r="AC40" i="13"/>
  <c r="AC41" i="13"/>
  <c r="AC42" i="13"/>
  <c r="AC43" i="13"/>
  <c r="AC44" i="13"/>
  <c r="AC3" i="13"/>
  <c r="T39" i="13"/>
  <c r="T37" i="13"/>
  <c r="T30" i="13"/>
  <c r="T28" i="13"/>
  <c r="T25" i="13"/>
  <c r="T3" i="13"/>
  <c r="S4" i="13"/>
  <c r="S5" i="13"/>
  <c r="S6" i="13"/>
  <c r="S7" i="13"/>
  <c r="S8" i="13"/>
  <c r="S9" i="13"/>
  <c r="S10" i="13"/>
  <c r="S11" i="13"/>
  <c r="S12" i="13"/>
  <c r="S13" i="13"/>
  <c r="AR13" i="13" s="1"/>
  <c r="AT13" i="13" s="1"/>
  <c r="S14" i="13"/>
  <c r="S15" i="13"/>
  <c r="S16" i="13"/>
  <c r="S17" i="13"/>
  <c r="S18" i="13"/>
  <c r="AR18" i="13" s="1"/>
  <c r="AT18" i="13" s="1"/>
  <c r="S19" i="13"/>
  <c r="AR19" i="13" s="1"/>
  <c r="AT19" i="13" s="1"/>
  <c r="S20" i="13"/>
  <c r="S21" i="13"/>
  <c r="S22" i="13"/>
  <c r="S23" i="13"/>
  <c r="AR23" i="13" s="1"/>
  <c r="AT23" i="13" s="1"/>
  <c r="S24" i="13"/>
  <c r="S25" i="13"/>
  <c r="S26" i="13"/>
  <c r="S27" i="13"/>
  <c r="S28" i="13"/>
  <c r="S29" i="13"/>
  <c r="S30" i="13"/>
  <c r="S31" i="13"/>
  <c r="AR31" i="13" s="1"/>
  <c r="AT31" i="13" s="1"/>
  <c r="S32" i="13"/>
  <c r="S33" i="13"/>
  <c r="S34" i="13"/>
  <c r="S35" i="13"/>
  <c r="S36" i="13"/>
  <c r="S37" i="13"/>
  <c r="AR37" i="13" s="1"/>
  <c r="AT37" i="13" s="1"/>
  <c r="S38" i="13"/>
  <c r="S39" i="13"/>
  <c r="AR39" i="13" s="1"/>
  <c r="AT39" i="13" s="1"/>
  <c r="S40" i="13"/>
  <c r="S41" i="13"/>
  <c r="S42" i="13"/>
  <c r="AR42" i="13" s="1"/>
  <c r="S43" i="13"/>
  <c r="AR43" i="13" s="1"/>
  <c r="AT43" i="13" s="1"/>
  <c r="S44" i="13"/>
  <c r="S3" i="13"/>
  <c r="BB44" i="13"/>
  <c r="BC44" i="13" s="1"/>
  <c r="BD44" i="13" s="1"/>
  <c r="BE44" i="13" s="1"/>
  <c r="AR44" i="13"/>
  <c r="AT44" i="13" s="1"/>
  <c r="H44" i="13"/>
  <c r="G44" i="13"/>
  <c r="BD43" i="13"/>
  <c r="BE43" i="13" s="1"/>
  <c r="H43" i="13"/>
  <c r="BB42" i="13"/>
  <c r="BC42" i="13" s="1"/>
  <c r="BD42" i="13" s="1"/>
  <c r="BE42" i="13" s="1"/>
  <c r="AS42" i="13"/>
  <c r="H42" i="13"/>
  <c r="G42" i="13"/>
  <c r="BB41" i="13"/>
  <c r="BC41" i="13" s="1"/>
  <c r="BD41" i="13" s="1"/>
  <c r="BE41" i="13" s="1"/>
  <c r="AS41" i="13"/>
  <c r="AR41" i="13"/>
  <c r="AT41" i="13" s="1"/>
  <c r="H41" i="13"/>
  <c r="G41" i="13"/>
  <c r="BB40" i="13"/>
  <c r="BA40" i="13"/>
  <c r="AR40" i="13"/>
  <c r="AT40" i="13" s="1"/>
  <c r="H40" i="13"/>
  <c r="G40" i="13"/>
  <c r="BB39" i="13"/>
  <c r="BA39" i="13"/>
  <c r="H39" i="13"/>
  <c r="G39" i="13"/>
  <c r="BB38" i="13"/>
  <c r="BA38" i="13"/>
  <c r="AR38" i="13"/>
  <c r="AT38" i="13" s="1"/>
  <c r="H38" i="13"/>
  <c r="G38" i="13"/>
  <c r="BB37" i="13"/>
  <c r="BA37" i="13"/>
  <c r="H37" i="13"/>
  <c r="G37" i="13"/>
  <c r="BB36" i="13"/>
  <c r="BA36" i="13"/>
  <c r="AR36" i="13"/>
  <c r="AT36" i="13" s="1"/>
  <c r="P36" i="13"/>
  <c r="O36" i="13"/>
  <c r="E36" i="13" s="1"/>
  <c r="N36" i="13"/>
  <c r="H36" i="13"/>
  <c r="G36" i="13"/>
  <c r="F36" i="13"/>
  <c r="BB35" i="13"/>
  <c r="BA35" i="13"/>
  <c r="H35" i="13"/>
  <c r="G35" i="13"/>
  <c r="F35" i="13"/>
  <c r="E35" i="13"/>
  <c r="BB34" i="13"/>
  <c r="BA34" i="13"/>
  <c r="R34" i="13"/>
  <c r="Q34" i="13"/>
  <c r="P34" i="13"/>
  <c r="O34" i="13"/>
  <c r="E34" i="13" s="1"/>
  <c r="N34" i="13"/>
  <c r="H34" i="13"/>
  <c r="G34" i="13"/>
  <c r="F34" i="13"/>
  <c r="BD33" i="13"/>
  <c r="BE33" i="13" s="1"/>
  <c r="AR33" i="13"/>
  <c r="AT33" i="13" s="1"/>
  <c r="H33" i="13"/>
  <c r="G33" i="13"/>
  <c r="BB32" i="13"/>
  <c r="BA32" i="13"/>
  <c r="R32" i="13"/>
  <c r="P32" i="13"/>
  <c r="N32" i="13"/>
  <c r="AR32" i="13" s="1"/>
  <c r="AT32" i="13" s="1"/>
  <c r="H32" i="13"/>
  <c r="G32" i="13"/>
  <c r="F32" i="13"/>
  <c r="E32" i="13"/>
  <c r="BA31" i="13"/>
  <c r="BC31" i="13" s="1"/>
  <c r="BD31" i="13" s="1"/>
  <c r="BE31" i="13" s="1"/>
  <c r="AX31" i="13" s="1"/>
  <c r="R31" i="13"/>
  <c r="H31" i="13"/>
  <c r="G31" i="13"/>
  <c r="F31" i="13"/>
  <c r="E31" i="13"/>
  <c r="BB30" i="13"/>
  <c r="BA30" i="13"/>
  <c r="AK30" i="13"/>
  <c r="R30" i="13"/>
  <c r="AR30" i="13" s="1"/>
  <c r="AT30" i="13" s="1"/>
  <c r="H30" i="13"/>
  <c r="G30" i="13"/>
  <c r="F30" i="13"/>
  <c r="E30" i="13"/>
  <c r="BB29" i="13"/>
  <c r="BA29" i="13"/>
  <c r="R29" i="13"/>
  <c r="P29" i="13"/>
  <c r="AR29" i="13" s="1"/>
  <c r="AT29" i="13" s="1"/>
  <c r="H29" i="13"/>
  <c r="G29" i="13"/>
  <c r="F29" i="13"/>
  <c r="E29" i="13"/>
  <c r="BB28" i="13"/>
  <c r="BA28" i="13"/>
  <c r="AR28" i="13"/>
  <c r="AT28" i="13" s="1"/>
  <c r="R28" i="13"/>
  <c r="E28" i="13" s="1"/>
  <c r="P28" i="13"/>
  <c r="H28" i="13"/>
  <c r="G28" i="13"/>
  <c r="F28" i="13"/>
  <c r="BB27" i="13"/>
  <c r="BA27" i="13"/>
  <c r="R27" i="13"/>
  <c r="P27" i="13"/>
  <c r="N27" i="13"/>
  <c r="H27" i="13"/>
  <c r="G27" i="13"/>
  <c r="F27" i="13"/>
  <c r="BB26" i="13"/>
  <c r="BA26" i="13"/>
  <c r="R26" i="13"/>
  <c r="P26" i="13"/>
  <c r="N26" i="13"/>
  <c r="AR26" i="13" s="1"/>
  <c r="AT26" i="13" s="1"/>
  <c r="H26" i="13"/>
  <c r="G26" i="13"/>
  <c r="F26" i="13"/>
  <c r="BB25" i="13"/>
  <c r="BA25" i="13"/>
  <c r="BC25" i="13" s="1"/>
  <c r="BD25" i="13" s="1"/>
  <c r="BE25" i="13" s="1"/>
  <c r="R25" i="13"/>
  <c r="P25" i="13"/>
  <c r="O25" i="13"/>
  <c r="H25" i="13"/>
  <c r="G25" i="13"/>
  <c r="F25" i="13"/>
  <c r="E25" i="13"/>
  <c r="BA24" i="13"/>
  <c r="BC24" i="13" s="1"/>
  <c r="BD24" i="13" s="1"/>
  <c r="BE24" i="13" s="1"/>
  <c r="AR24" i="13"/>
  <c r="AT24" i="13" s="1"/>
  <c r="H24" i="13"/>
  <c r="G24" i="13"/>
  <c r="BB23" i="13"/>
  <c r="BA23" i="13"/>
  <c r="H23" i="13"/>
  <c r="G23" i="13"/>
  <c r="BB22" i="13"/>
  <c r="BA22" i="13"/>
  <c r="AR22" i="13"/>
  <c r="AT22" i="13" s="1"/>
  <c r="H22" i="13"/>
  <c r="G22" i="13"/>
  <c r="BA21" i="13"/>
  <c r="BC21" i="13" s="1"/>
  <c r="BD21" i="13" s="1"/>
  <c r="BE21" i="13" s="1"/>
  <c r="AR21" i="13"/>
  <c r="AT21" i="13" s="1"/>
  <c r="H21" i="13"/>
  <c r="G21" i="13"/>
  <c r="BD20" i="13"/>
  <c r="BE20" i="13" s="1"/>
  <c r="AR20" i="13"/>
  <c r="AT20" i="13" s="1"/>
  <c r="H20" i="13"/>
  <c r="G20" i="13"/>
  <c r="BE19" i="13"/>
  <c r="BD19" i="13"/>
  <c r="H19" i="13"/>
  <c r="G19" i="13"/>
  <c r="BB18" i="13"/>
  <c r="BC18" i="13" s="1"/>
  <c r="BD18" i="13" s="1"/>
  <c r="BE18" i="13" s="1"/>
  <c r="H18" i="13"/>
  <c r="G18" i="13"/>
  <c r="BB17" i="13"/>
  <c r="BA17" i="13"/>
  <c r="AR17" i="13"/>
  <c r="AT17" i="13" s="1"/>
  <c r="H17" i="13"/>
  <c r="G17" i="13"/>
  <c r="BB16" i="13"/>
  <c r="BA16" i="13"/>
  <c r="AR16" i="13"/>
  <c r="AT16" i="13" s="1"/>
  <c r="H16" i="13"/>
  <c r="G16" i="13"/>
  <c r="BB15" i="13"/>
  <c r="BA15" i="13"/>
  <c r="R15" i="13"/>
  <c r="P15" i="13"/>
  <c r="O15" i="13"/>
  <c r="E15" i="13" s="1"/>
  <c r="N15" i="13"/>
  <c r="H15" i="13"/>
  <c r="G15" i="13"/>
  <c r="F15" i="13"/>
  <c r="BB14" i="13"/>
  <c r="BA14" i="13"/>
  <c r="R14" i="13"/>
  <c r="P14" i="13"/>
  <c r="O14" i="13"/>
  <c r="H14" i="13"/>
  <c r="G14" i="13"/>
  <c r="F14" i="13"/>
  <c r="E14" i="13"/>
  <c r="BB13" i="13"/>
  <c r="BA13" i="13"/>
  <c r="R13" i="13"/>
  <c r="P13" i="13"/>
  <c r="H13" i="13"/>
  <c r="G13" i="13"/>
  <c r="F13" i="13"/>
  <c r="E13" i="13"/>
  <c r="BB12" i="13"/>
  <c r="BA12" i="13"/>
  <c r="R12" i="13"/>
  <c r="P12" i="13"/>
  <c r="O12" i="13"/>
  <c r="N12" i="13"/>
  <c r="AR12" i="13" s="1"/>
  <c r="AT12" i="13" s="1"/>
  <c r="H12" i="13"/>
  <c r="G12" i="13"/>
  <c r="F12" i="13"/>
  <c r="E12" i="13"/>
  <c r="BB11" i="13"/>
  <c r="BA11" i="13"/>
  <c r="R11" i="13"/>
  <c r="P11" i="13"/>
  <c r="E11" i="13" s="1"/>
  <c r="O11" i="13"/>
  <c r="H11" i="13"/>
  <c r="G11" i="13"/>
  <c r="F11" i="13"/>
  <c r="BB10" i="13"/>
  <c r="BA10" i="13"/>
  <c r="R10" i="13"/>
  <c r="E10" i="13" s="1"/>
  <c r="P10" i="13"/>
  <c r="H10" i="13"/>
  <c r="G10" i="13"/>
  <c r="F10" i="13"/>
  <c r="BB9" i="13"/>
  <c r="BA9" i="13"/>
  <c r="R9" i="13"/>
  <c r="E9" i="13" s="1"/>
  <c r="P9" i="13"/>
  <c r="H9" i="13"/>
  <c r="G9" i="13"/>
  <c r="F9" i="13"/>
  <c r="BB8" i="13"/>
  <c r="BA8" i="13"/>
  <c r="R8" i="13"/>
  <c r="P8" i="13"/>
  <c r="O8" i="13"/>
  <c r="E8" i="13" s="1"/>
  <c r="N8" i="13"/>
  <c r="AR8" i="13" s="1"/>
  <c r="AT8" i="13" s="1"/>
  <c r="H8" i="13"/>
  <c r="G8" i="13"/>
  <c r="F8" i="13"/>
  <c r="BB7" i="13"/>
  <c r="BA7" i="13"/>
  <c r="R7" i="13"/>
  <c r="P7" i="13"/>
  <c r="O7" i="13"/>
  <c r="E7" i="13" s="1"/>
  <c r="N7" i="13"/>
  <c r="H7" i="13"/>
  <c r="G7" i="13"/>
  <c r="F7" i="13"/>
  <c r="BB6" i="13"/>
  <c r="BA6" i="13"/>
  <c r="R6" i="13"/>
  <c r="E6" i="13" s="1"/>
  <c r="P6" i="13"/>
  <c r="H6" i="13"/>
  <c r="G6" i="13"/>
  <c r="F6" i="13"/>
  <c r="BB5" i="13"/>
  <c r="BA5" i="13"/>
  <c r="AL5" i="13"/>
  <c r="R5" i="13"/>
  <c r="P5" i="13"/>
  <c r="O5" i="13"/>
  <c r="E5" i="13" s="1"/>
  <c r="N5" i="13"/>
  <c r="H5" i="13"/>
  <c r="G5" i="13"/>
  <c r="F5" i="13"/>
  <c r="BB4" i="13"/>
  <c r="BA4" i="13"/>
  <c r="R4" i="13"/>
  <c r="P4" i="13"/>
  <c r="O4" i="13"/>
  <c r="E4" i="13" s="1"/>
  <c r="N4" i="13"/>
  <c r="AR4" i="13" s="1"/>
  <c r="AT4" i="13" s="1"/>
  <c r="H4" i="13"/>
  <c r="G4" i="13"/>
  <c r="F4" i="13"/>
  <c r="BB3" i="13"/>
  <c r="BA3" i="13"/>
  <c r="R3" i="13"/>
  <c r="P3" i="13"/>
  <c r="O3" i="13"/>
  <c r="E3" i="13" s="1"/>
  <c r="N3" i="13"/>
  <c r="AR3" i="13" s="1"/>
  <c r="AT3" i="13" s="1"/>
  <c r="H3" i="13"/>
  <c r="G3" i="13"/>
  <c r="F3" i="13"/>
  <c r="C8" i="14" l="1"/>
  <c r="BC36" i="13"/>
  <c r="BD36" i="13" s="1"/>
  <c r="BE36" i="13" s="1"/>
  <c r="AR27" i="13"/>
  <c r="AT27" i="13" s="1"/>
  <c r="BC3" i="13"/>
  <c r="BD3" i="13" s="1"/>
  <c r="BE3" i="13" s="1"/>
  <c r="BC39" i="13"/>
  <c r="BD39" i="13" s="1"/>
  <c r="BE39" i="13" s="1"/>
  <c r="BC10" i="13"/>
  <c r="BD10" i="13" s="1"/>
  <c r="BC15" i="13"/>
  <c r="BD15" i="13" s="1"/>
  <c r="BH15" i="13" s="1"/>
  <c r="BC8" i="13"/>
  <c r="BD8" i="13" s="1"/>
  <c r="BE8" i="13" s="1"/>
  <c r="BC14" i="13"/>
  <c r="BD14" i="13" s="1"/>
  <c r="BH14" i="13" s="1"/>
  <c r="BC28" i="13"/>
  <c r="BD28" i="13" s="1"/>
  <c r="BE28" i="13" s="1"/>
  <c r="BC7" i="13"/>
  <c r="BD7" i="13" s="1"/>
  <c r="BH7" i="13" s="1"/>
  <c r="BC22" i="13"/>
  <c r="BD22" i="13" s="1"/>
  <c r="BE22" i="13" s="1"/>
  <c r="BC32" i="13"/>
  <c r="BD32" i="13" s="1"/>
  <c r="BE32" i="13" s="1"/>
  <c r="BC40" i="13"/>
  <c r="BD40" i="13" s="1"/>
  <c r="BE40" i="13" s="1"/>
  <c r="BC6" i="13"/>
  <c r="BD6" i="13" s="1"/>
  <c r="BH6" i="13" s="1"/>
  <c r="BC11" i="13"/>
  <c r="BD11" i="13" s="1"/>
  <c r="BH11" i="13" s="1"/>
  <c r="BC17" i="13"/>
  <c r="BD17" i="13" s="1"/>
  <c r="BH17" i="13" s="1"/>
  <c r="BC27" i="13"/>
  <c r="BD27" i="13" s="1"/>
  <c r="BE27" i="13" s="1"/>
  <c r="BC35" i="13"/>
  <c r="BD35" i="13" s="1"/>
  <c r="BE35" i="13" s="1"/>
  <c r="BC4" i="13"/>
  <c r="BD4" i="13" s="1"/>
  <c r="BH4" i="13" s="1"/>
  <c r="BC13" i="13"/>
  <c r="BD13" i="13" s="1"/>
  <c r="BE13" i="13" s="1"/>
  <c r="BC34" i="13"/>
  <c r="BD34" i="13" s="1"/>
  <c r="BE34" i="13" s="1"/>
  <c r="BC37" i="13"/>
  <c r="BD37" i="13" s="1"/>
  <c r="BE37" i="13" s="1"/>
  <c r="AT42" i="13"/>
  <c r="AR7" i="13"/>
  <c r="AT7" i="13" s="1"/>
  <c r="AR14" i="13"/>
  <c r="AT14" i="13" s="1"/>
  <c r="AR15" i="13"/>
  <c r="AT15" i="13" s="1"/>
  <c r="AR25" i="13"/>
  <c r="AT25" i="13" s="1"/>
  <c r="BC29" i="13"/>
  <c r="BD29" i="13" s="1"/>
  <c r="BE29" i="13" s="1"/>
  <c r="BC12" i="13"/>
  <c r="BD12" i="13" s="1"/>
  <c r="BH12" i="13" s="1"/>
  <c r="BC30" i="13"/>
  <c r="BD30" i="13" s="1"/>
  <c r="BE30" i="13" s="1"/>
  <c r="BC38" i="13"/>
  <c r="BD38" i="13" s="1"/>
  <c r="BE38" i="13" s="1"/>
  <c r="BH3" i="13"/>
  <c r="BE6" i="13"/>
  <c r="BE10" i="13"/>
  <c r="BH10" i="13"/>
  <c r="BE12" i="13"/>
  <c r="AR5" i="13"/>
  <c r="AT5" i="13" s="1"/>
  <c r="BC5" i="13"/>
  <c r="BD5" i="13" s="1"/>
  <c r="AR9" i="13"/>
  <c r="AT9" i="13" s="1"/>
  <c r="AR10" i="13"/>
  <c r="AT10" i="13" s="1"/>
  <c r="BC16" i="13"/>
  <c r="BD16" i="13" s="1"/>
  <c r="E26" i="13"/>
  <c r="BC26" i="13"/>
  <c r="BD26" i="13" s="1"/>
  <c r="BE26" i="13" s="1"/>
  <c r="AR11" i="13"/>
  <c r="AT11" i="13" s="1"/>
  <c r="BE15" i="13"/>
  <c r="E27" i="13"/>
  <c r="AR34" i="13"/>
  <c r="AT34" i="13" s="1"/>
  <c r="AR6" i="13"/>
  <c r="AT6" i="13" s="1"/>
  <c r="BC9" i="13"/>
  <c r="BD9" i="13" s="1"/>
  <c r="BH18" i="13"/>
  <c r="BC23" i="13"/>
  <c r="BD23" i="13" s="1"/>
  <c r="BE23" i="13" s="1"/>
  <c r="C3" i="9"/>
  <c r="H3" i="7"/>
  <c r="G3" i="7"/>
  <c r="F3" i="7"/>
  <c r="E3" i="7"/>
  <c r="D3" i="7"/>
  <c r="C3" i="7"/>
  <c r="K27" i="2"/>
  <c r="M27" i="2"/>
  <c r="O27" i="2"/>
  <c r="Q27" i="2"/>
  <c r="S27" i="2"/>
  <c r="U27" i="2"/>
  <c r="I27" i="2"/>
  <c r="C8" i="7"/>
  <c r="C13" i="11"/>
  <c r="D13" i="11"/>
  <c r="E13" i="11"/>
  <c r="B13" i="11"/>
  <c r="C11" i="11"/>
  <c r="D11" i="11"/>
  <c r="E11" i="11"/>
  <c r="B11" i="11"/>
  <c r="BH8" i="13" l="1"/>
  <c r="BE4" i="13"/>
  <c r="BH13" i="13"/>
  <c r="BE14" i="13"/>
  <c r="BE11" i="13"/>
  <c r="BE17" i="13"/>
  <c r="AT45" i="13"/>
  <c r="AU24" i="13" s="1"/>
  <c r="AV24" i="13" s="1"/>
  <c r="AW24" i="13" s="1"/>
  <c r="AX24" i="13" s="1"/>
  <c r="BE7" i="13"/>
  <c r="BE16" i="13"/>
  <c r="BH16" i="13"/>
  <c r="BH9" i="13"/>
  <c r="BE9" i="13"/>
  <c r="BE5" i="13"/>
  <c r="BH5" i="13"/>
  <c r="BP54" i="10"/>
  <c r="BT53" i="10"/>
  <c r="BR53" i="10"/>
  <c r="BP53" i="10"/>
  <c r="BT52" i="10"/>
  <c r="BR52" i="10"/>
  <c r="BP52" i="10"/>
  <c r="BR45" i="10"/>
  <c r="BP45" i="10"/>
  <c r="BV44" i="10"/>
  <c r="BT44" i="10"/>
  <c r="BR44" i="10"/>
  <c r="BP44" i="10"/>
  <c r="BR43" i="10"/>
  <c r="BV42" i="10"/>
  <c r="BT42" i="10"/>
  <c r="BR42" i="10"/>
  <c r="BP42" i="10"/>
  <c r="BR41" i="10"/>
  <c r="BV39" i="10"/>
  <c r="BT39" i="10"/>
  <c r="BR38" i="10"/>
  <c r="BP38" i="10"/>
  <c r="BR37" i="10"/>
  <c r="BP37" i="10"/>
  <c r="BR36" i="10"/>
  <c r="BP36" i="10"/>
  <c r="BR35" i="10"/>
  <c r="BP35" i="10"/>
  <c r="BV34" i="10"/>
  <c r="BT34" i="10"/>
  <c r="BP34" i="10"/>
  <c r="BV33" i="10"/>
  <c r="BV32" i="10"/>
  <c r="BT32" i="10"/>
  <c r="BR31" i="10"/>
  <c r="BP31" i="10"/>
  <c r="BT30" i="10"/>
  <c r="BR30" i="10"/>
  <c r="BP30" i="10"/>
  <c r="BR29" i="10"/>
  <c r="BP29" i="10"/>
  <c r="BR27" i="10"/>
  <c r="BP27" i="10"/>
  <c r="BT26" i="10"/>
  <c r="BR26" i="10"/>
  <c r="BP26" i="10"/>
  <c r="BT25" i="10"/>
  <c r="BR25" i="10"/>
  <c r="BP25" i="10"/>
  <c r="BT24" i="10"/>
  <c r="BR24" i="10"/>
  <c r="BP24" i="10"/>
  <c r="BT23" i="10"/>
  <c r="BR23" i="10"/>
  <c r="BP23" i="10"/>
  <c r="BR22" i="10"/>
  <c r="BP22" i="10"/>
  <c r="BR21" i="10"/>
  <c r="BP21" i="10"/>
  <c r="BR20" i="10"/>
  <c r="BP20" i="10"/>
  <c r="BR18" i="10"/>
  <c r="BP18" i="10"/>
  <c r="BT17" i="10"/>
  <c r="BR17" i="10"/>
  <c r="BP17" i="10"/>
  <c r="BV16" i="10"/>
  <c r="BT16" i="10"/>
  <c r="BV15" i="10"/>
  <c r="BV56" i="10" s="1"/>
  <c r="BT15" i="10"/>
  <c r="BR14" i="10"/>
  <c r="BP14" i="10"/>
  <c r="BT11" i="10"/>
  <c r="BR11" i="10"/>
  <c r="BP11" i="10"/>
  <c r="BT10" i="10"/>
  <c r="BR10" i="10"/>
  <c r="BP10" i="10"/>
  <c r="BT9" i="10"/>
  <c r="BR9" i="10"/>
  <c r="BP9" i="10"/>
  <c r="BR8" i="10"/>
  <c r="BP8" i="10"/>
  <c r="BR7" i="10"/>
  <c r="BP7" i="10"/>
  <c r="BT6" i="10"/>
  <c r="BR6" i="10"/>
  <c r="BP6" i="10"/>
  <c r="BT5" i="10"/>
  <c r="BR5" i="10"/>
  <c r="BP5" i="10"/>
  <c r="BT3" i="10"/>
  <c r="BR3" i="10"/>
  <c r="BR56" i="10" s="1"/>
  <c r="BP3" i="10"/>
  <c r="BT56" i="10" l="1"/>
  <c r="BP56" i="10"/>
  <c r="AU42" i="13"/>
  <c r="AV42" i="13" s="1"/>
  <c r="AW42" i="13" s="1"/>
  <c r="AX42" i="13" s="1"/>
  <c r="AU22" i="13"/>
  <c r="AV22" i="13" s="1"/>
  <c r="AW22" i="13" s="1"/>
  <c r="AX22" i="13" s="1"/>
  <c r="AU8" i="13"/>
  <c r="AV8" i="13" s="1"/>
  <c r="AW8" i="13" s="1"/>
  <c r="AX8" i="13" s="1"/>
  <c r="AU6" i="13"/>
  <c r="AV6" i="13" s="1"/>
  <c r="AW6" i="13" s="1"/>
  <c r="AX6" i="13" s="1"/>
  <c r="AU40" i="13"/>
  <c r="AV40" i="13" s="1"/>
  <c r="AW40" i="13" s="1"/>
  <c r="AX40" i="13" s="1"/>
  <c r="AU34" i="13"/>
  <c r="AV34" i="13" s="1"/>
  <c r="AW34" i="13" s="1"/>
  <c r="AX34" i="13" s="1"/>
  <c r="AU38" i="13"/>
  <c r="AV38" i="13" s="1"/>
  <c r="AW38" i="13" s="1"/>
  <c r="AX38" i="13" s="1"/>
  <c r="AU7" i="13"/>
  <c r="AV7" i="13" s="1"/>
  <c r="AW7" i="13" s="1"/>
  <c r="AX7" i="13" s="1"/>
  <c r="AU11" i="13"/>
  <c r="AV11" i="13" s="1"/>
  <c r="AW11" i="13" s="1"/>
  <c r="AX11" i="13" s="1"/>
  <c r="AU5" i="13"/>
  <c r="AV5" i="13" s="1"/>
  <c r="AW5" i="13" s="1"/>
  <c r="AX5" i="13" s="1"/>
  <c r="AU4" i="13"/>
  <c r="AV4" i="13" s="1"/>
  <c r="AW4" i="13" s="1"/>
  <c r="AX4" i="13" s="1"/>
  <c r="AU30" i="13"/>
  <c r="AV30" i="13" s="1"/>
  <c r="AW30" i="13" s="1"/>
  <c r="AX30" i="13" s="1"/>
  <c r="AU19" i="13"/>
  <c r="AV19" i="13" s="1"/>
  <c r="AW19" i="13" s="1"/>
  <c r="AU9" i="13"/>
  <c r="AV9" i="13" s="1"/>
  <c r="AW9" i="13" s="1"/>
  <c r="AU10" i="13"/>
  <c r="AV10" i="13" s="1"/>
  <c r="AW10" i="13" s="1"/>
  <c r="AX10" i="13" s="1"/>
  <c r="AU25" i="13"/>
  <c r="AV25" i="13" s="1"/>
  <c r="AW25" i="13" s="1"/>
  <c r="AX25" i="13" s="1"/>
  <c r="AU43" i="13"/>
  <c r="AV43" i="13" s="1"/>
  <c r="AW43" i="13" s="1"/>
  <c r="AU27" i="13"/>
  <c r="AV27" i="13" s="1"/>
  <c r="AW27" i="13" s="1"/>
  <c r="AX27" i="13" s="1"/>
  <c r="AU20" i="13"/>
  <c r="AV20" i="13" s="1"/>
  <c r="AW20" i="13" s="1"/>
  <c r="AU36" i="13"/>
  <c r="AV36" i="13" s="1"/>
  <c r="AW36" i="13" s="1"/>
  <c r="AX36" i="13" s="1"/>
  <c r="AU31" i="13"/>
  <c r="AV31" i="13" s="1"/>
  <c r="AU35" i="13"/>
  <c r="AV35" i="13" s="1"/>
  <c r="AW35" i="13" s="1"/>
  <c r="AX35" i="13" s="1"/>
  <c r="AU28" i="13"/>
  <c r="AV28" i="13" s="1"/>
  <c r="AW28" i="13" s="1"/>
  <c r="AX28" i="13" s="1"/>
  <c r="AU41" i="13"/>
  <c r="AV41" i="13" s="1"/>
  <c r="AW41" i="13" s="1"/>
  <c r="AX41" i="13" s="1"/>
  <c r="AU37" i="13"/>
  <c r="AV37" i="13" s="1"/>
  <c r="AW37" i="13" s="1"/>
  <c r="AX37" i="13" s="1"/>
  <c r="AU16" i="13"/>
  <c r="AV16" i="13" s="1"/>
  <c r="AW16" i="13" s="1"/>
  <c r="AX16" i="13" s="1"/>
  <c r="AU15" i="13"/>
  <c r="AV15" i="13" s="1"/>
  <c r="AW15" i="13" s="1"/>
  <c r="AX15" i="13" s="1"/>
  <c r="AU12" i="13"/>
  <c r="AV12" i="13" s="1"/>
  <c r="AW12" i="13" s="1"/>
  <c r="AX12" i="13" s="1"/>
  <c r="AU33" i="13"/>
  <c r="AV33" i="13" s="1"/>
  <c r="AW33" i="13" s="1"/>
  <c r="AU21" i="13"/>
  <c r="AV21" i="13" s="1"/>
  <c r="AW21" i="13" s="1"/>
  <c r="AX21" i="13" s="1"/>
  <c r="AU26" i="13"/>
  <c r="AV26" i="13" s="1"/>
  <c r="AW26" i="13" s="1"/>
  <c r="AX26" i="13" s="1"/>
  <c r="AU23" i="13"/>
  <c r="AV23" i="13" s="1"/>
  <c r="AW23" i="13" s="1"/>
  <c r="AX23" i="13" s="1"/>
  <c r="AU18" i="13"/>
  <c r="AV18" i="13" s="1"/>
  <c r="AW18" i="13" s="1"/>
  <c r="AX18" i="13" s="1"/>
  <c r="AU44" i="13"/>
  <c r="AV44" i="13" s="1"/>
  <c r="AW44" i="13" s="1"/>
  <c r="AX44" i="13" s="1"/>
  <c r="AU3" i="13"/>
  <c r="AV3" i="13" s="1"/>
  <c r="AW3" i="13" s="1"/>
  <c r="AX3" i="13" s="1"/>
  <c r="AU14" i="13"/>
  <c r="AV14" i="13" s="1"/>
  <c r="AW14" i="13" s="1"/>
  <c r="AX14" i="13" s="1"/>
  <c r="AU13" i="13"/>
  <c r="AV13" i="13" s="1"/>
  <c r="AW13" i="13" s="1"/>
  <c r="AX13" i="13" s="1"/>
  <c r="AU39" i="13"/>
  <c r="AV39" i="13" s="1"/>
  <c r="AW39" i="13" s="1"/>
  <c r="AX39" i="13" s="1"/>
  <c r="AU17" i="13"/>
  <c r="AV17" i="13" s="1"/>
  <c r="AW17" i="13" s="1"/>
  <c r="AX17" i="13" s="1"/>
  <c r="AU32" i="13"/>
  <c r="AV32" i="13" s="1"/>
  <c r="AW32" i="13" s="1"/>
  <c r="AX32" i="13" s="1"/>
  <c r="AU29" i="13"/>
  <c r="AV29" i="13" s="1"/>
  <c r="AW29" i="13" s="1"/>
  <c r="AX29" i="13" s="1"/>
  <c r="AX9" i="13"/>
  <c r="L5" i="2"/>
  <c r="AX45" i="13" l="1"/>
  <c r="D16" i="7"/>
  <c r="E16" i="7"/>
  <c r="H16" i="7"/>
  <c r="G16" i="7"/>
  <c r="F16" i="7"/>
  <c r="C16" i="7"/>
  <c r="C18" i="7" s="1"/>
  <c r="D18" i="7" s="1"/>
  <c r="E18" i="7" s="1"/>
  <c r="F18" i="7" s="1"/>
  <c r="G18" i="7" s="1"/>
  <c r="H18" i="7" s="1"/>
  <c r="C7" i="9" l="1"/>
  <c r="C6" i="9"/>
  <c r="C4" i="9"/>
  <c r="C8" i="9" l="1"/>
  <c r="E8" i="9" s="1"/>
  <c r="H7" i="7"/>
  <c r="H6" i="7"/>
  <c r="G7" i="7"/>
  <c r="G6" i="7"/>
  <c r="F7" i="7"/>
  <c r="F6" i="7"/>
  <c r="U6" i="5"/>
  <c r="U5" i="5"/>
  <c r="T6" i="5"/>
  <c r="T5" i="5"/>
  <c r="U7" i="5"/>
  <c r="S6" i="5"/>
  <c r="S5" i="5"/>
  <c r="R6" i="5"/>
  <c r="R5" i="5"/>
  <c r="Q6" i="5"/>
  <c r="Q5" i="5"/>
  <c r="P6" i="5"/>
  <c r="P5" i="5"/>
  <c r="Q7" i="5"/>
  <c r="U6" i="4"/>
  <c r="U7" i="4"/>
  <c r="U5" i="4"/>
  <c r="T6" i="4"/>
  <c r="T7" i="4"/>
  <c r="T5" i="4"/>
  <c r="S6" i="4"/>
  <c r="S7" i="4"/>
  <c r="S5" i="4"/>
  <c r="R6" i="4"/>
  <c r="R7" i="4"/>
  <c r="R5" i="4"/>
  <c r="Q6" i="4"/>
  <c r="Q7" i="4"/>
  <c r="Q5" i="4"/>
  <c r="P6" i="4"/>
  <c r="P7" i="4"/>
  <c r="P5" i="4"/>
  <c r="U6" i="6"/>
  <c r="U7" i="6"/>
  <c r="U8" i="6"/>
  <c r="U9" i="6"/>
  <c r="U10" i="6"/>
  <c r="U11" i="6"/>
  <c r="U5" i="6"/>
  <c r="T6" i="6"/>
  <c r="T7" i="6"/>
  <c r="T8" i="6"/>
  <c r="T9" i="6"/>
  <c r="T10" i="6"/>
  <c r="T11" i="6"/>
  <c r="T5" i="6"/>
  <c r="S7" i="6"/>
  <c r="S8" i="6"/>
  <c r="S9" i="6"/>
  <c r="S10" i="6"/>
  <c r="S11" i="6"/>
  <c r="S5" i="6"/>
  <c r="R6" i="6"/>
  <c r="S6" i="6" s="1"/>
  <c r="R7" i="6"/>
  <c r="R8" i="6"/>
  <c r="R9" i="6"/>
  <c r="R10" i="6"/>
  <c r="R11" i="6"/>
  <c r="R5" i="6"/>
  <c r="Q6" i="6"/>
  <c r="Q7" i="6"/>
  <c r="Q8" i="6"/>
  <c r="Q9" i="6"/>
  <c r="Q10" i="6"/>
  <c r="Q11" i="6"/>
  <c r="Q5" i="6"/>
  <c r="P6" i="6"/>
  <c r="P7" i="6"/>
  <c r="P8" i="6"/>
  <c r="P9" i="6"/>
  <c r="P10" i="6"/>
  <c r="P11" i="6"/>
  <c r="P5" i="6"/>
  <c r="U5" i="3"/>
  <c r="V5" i="3" s="1"/>
  <c r="U6" i="3"/>
  <c r="V6" i="3" s="1"/>
  <c r="U7" i="3"/>
  <c r="V7" i="3" s="1"/>
  <c r="U8" i="3"/>
  <c r="V8" i="3" s="1"/>
  <c r="U9" i="3"/>
  <c r="V9" i="3" s="1"/>
  <c r="U10" i="3"/>
  <c r="V10" i="3" s="1"/>
  <c r="U11" i="3"/>
  <c r="V11" i="3" s="1"/>
  <c r="U4" i="3"/>
  <c r="V4" i="3" s="1"/>
  <c r="S5" i="3"/>
  <c r="T5" i="3" s="1"/>
  <c r="S6" i="3"/>
  <c r="T6" i="3" s="1"/>
  <c r="S7" i="3"/>
  <c r="T7" i="3" s="1"/>
  <c r="S8" i="3"/>
  <c r="T8" i="3" s="1"/>
  <c r="S9" i="3"/>
  <c r="T9" i="3" s="1"/>
  <c r="S10" i="3"/>
  <c r="T10" i="3" s="1"/>
  <c r="S11" i="3"/>
  <c r="T11" i="3" s="1"/>
  <c r="S4" i="3"/>
  <c r="T4" i="3" s="1"/>
  <c r="Q5" i="3"/>
  <c r="R5" i="3" s="1"/>
  <c r="Q6" i="3"/>
  <c r="R6" i="3" s="1"/>
  <c r="Q7" i="3"/>
  <c r="R7" i="3" s="1"/>
  <c r="Q8" i="3"/>
  <c r="R8" i="3" s="1"/>
  <c r="Q9" i="3"/>
  <c r="R9" i="3" s="1"/>
  <c r="Q10" i="3"/>
  <c r="R10" i="3" s="1"/>
  <c r="Q11" i="3"/>
  <c r="R11" i="3" s="1"/>
  <c r="Q4" i="3"/>
  <c r="R4" i="3" s="1"/>
  <c r="U7" i="2"/>
  <c r="U11" i="2"/>
  <c r="U23" i="2"/>
  <c r="U5" i="2"/>
  <c r="T6" i="2"/>
  <c r="U6" i="2" s="1"/>
  <c r="T7" i="2"/>
  <c r="T8" i="2"/>
  <c r="U8" i="2" s="1"/>
  <c r="T9" i="2"/>
  <c r="U9" i="2" s="1"/>
  <c r="T10" i="2"/>
  <c r="U10" i="2" s="1"/>
  <c r="T11" i="2"/>
  <c r="T12" i="2"/>
  <c r="U12" i="2" s="1"/>
  <c r="T13" i="2"/>
  <c r="U13" i="2" s="1"/>
  <c r="T14" i="2"/>
  <c r="U14" i="2" s="1"/>
  <c r="T15" i="2"/>
  <c r="U15" i="2" s="1"/>
  <c r="T16" i="2"/>
  <c r="U16" i="2" s="1"/>
  <c r="T17" i="2"/>
  <c r="U17" i="2" s="1"/>
  <c r="T18" i="2"/>
  <c r="U18" i="2" s="1"/>
  <c r="T19" i="2"/>
  <c r="U19" i="2" s="1"/>
  <c r="T20" i="2"/>
  <c r="U20" i="2" s="1"/>
  <c r="T21" i="2"/>
  <c r="U21" i="2" s="1"/>
  <c r="T22" i="2"/>
  <c r="U22" i="2" s="1"/>
  <c r="T23" i="2"/>
  <c r="T24" i="2"/>
  <c r="U24" i="2" s="1"/>
  <c r="T25" i="2"/>
  <c r="U25" i="2" s="1"/>
  <c r="T26" i="2"/>
  <c r="U26" i="2" s="1"/>
  <c r="T5" i="2"/>
  <c r="S7" i="2"/>
  <c r="S11" i="2"/>
  <c r="S23" i="2"/>
  <c r="S5" i="2"/>
  <c r="R6" i="2"/>
  <c r="S6" i="2" s="1"/>
  <c r="R7" i="2"/>
  <c r="R8" i="2"/>
  <c r="S8" i="2" s="1"/>
  <c r="R9" i="2"/>
  <c r="S9" i="2" s="1"/>
  <c r="R10" i="2"/>
  <c r="S10" i="2" s="1"/>
  <c r="R11" i="2"/>
  <c r="R12" i="2"/>
  <c r="S12" i="2" s="1"/>
  <c r="R13" i="2"/>
  <c r="S13" i="2" s="1"/>
  <c r="R14" i="2"/>
  <c r="S14" i="2" s="1"/>
  <c r="R15" i="2"/>
  <c r="S15" i="2" s="1"/>
  <c r="R16" i="2"/>
  <c r="S16" i="2" s="1"/>
  <c r="R17" i="2"/>
  <c r="S17" i="2" s="1"/>
  <c r="R18" i="2"/>
  <c r="S18" i="2" s="1"/>
  <c r="R19" i="2"/>
  <c r="S19" i="2" s="1"/>
  <c r="R20" i="2"/>
  <c r="S20" i="2" s="1"/>
  <c r="R21" i="2"/>
  <c r="S21" i="2" s="1"/>
  <c r="R22" i="2"/>
  <c r="S22" i="2" s="1"/>
  <c r="R23" i="2"/>
  <c r="R24" i="2"/>
  <c r="S24" i="2" s="1"/>
  <c r="R25" i="2"/>
  <c r="S25" i="2" s="1"/>
  <c r="R26" i="2"/>
  <c r="S26" i="2" s="1"/>
  <c r="R5" i="2"/>
  <c r="Q7" i="2"/>
  <c r="Q11" i="2"/>
  <c r="Q23" i="2"/>
  <c r="Q5" i="2"/>
  <c r="P6" i="2"/>
  <c r="Q6" i="2" s="1"/>
  <c r="P7" i="2"/>
  <c r="P8" i="2"/>
  <c r="Q8" i="2" s="1"/>
  <c r="P9" i="2"/>
  <c r="Q9" i="2" s="1"/>
  <c r="P10" i="2"/>
  <c r="Q10" i="2" s="1"/>
  <c r="P11" i="2"/>
  <c r="P12" i="2"/>
  <c r="Q12" i="2" s="1"/>
  <c r="P13" i="2"/>
  <c r="Q13" i="2" s="1"/>
  <c r="P14" i="2"/>
  <c r="Q14" i="2" s="1"/>
  <c r="P15" i="2"/>
  <c r="Q15" i="2" s="1"/>
  <c r="P16" i="2"/>
  <c r="Q16" i="2" s="1"/>
  <c r="P17" i="2"/>
  <c r="Q17" i="2" s="1"/>
  <c r="P18" i="2"/>
  <c r="Q18" i="2" s="1"/>
  <c r="P19" i="2"/>
  <c r="Q19" i="2" s="1"/>
  <c r="P20" i="2"/>
  <c r="Q20" i="2" s="1"/>
  <c r="P21" i="2"/>
  <c r="Q21" i="2" s="1"/>
  <c r="P22" i="2"/>
  <c r="Q22" i="2" s="1"/>
  <c r="P23" i="2"/>
  <c r="P24" i="2"/>
  <c r="Q24" i="2" s="1"/>
  <c r="P25" i="2"/>
  <c r="Q25" i="2" s="1"/>
  <c r="P26" i="2"/>
  <c r="Q26" i="2" s="1"/>
  <c r="P5" i="2"/>
  <c r="E6" i="7"/>
  <c r="D6" i="7"/>
  <c r="C6" i="7"/>
  <c r="C4" i="7"/>
  <c r="O6" i="6"/>
  <c r="O12" i="6" s="1"/>
  <c r="E5" i="7" s="1"/>
  <c r="O7" i="6"/>
  <c r="O8" i="6"/>
  <c r="O9" i="6"/>
  <c r="O10" i="6"/>
  <c r="O11" i="6"/>
  <c r="O5" i="6"/>
  <c r="N6" i="6"/>
  <c r="N7" i="6"/>
  <c r="N8" i="6"/>
  <c r="N9" i="6"/>
  <c r="N10" i="6"/>
  <c r="N11" i="6"/>
  <c r="N5" i="6"/>
  <c r="M6" i="6"/>
  <c r="M12" i="6" s="1"/>
  <c r="D5" i="7" s="1"/>
  <c r="M7" i="6"/>
  <c r="M8" i="6"/>
  <c r="M9" i="6"/>
  <c r="M10" i="6"/>
  <c r="M11" i="6"/>
  <c r="M5" i="6"/>
  <c r="L6" i="6"/>
  <c r="L7" i="6"/>
  <c r="L8" i="6"/>
  <c r="L9" i="6"/>
  <c r="L10" i="6"/>
  <c r="L11" i="6"/>
  <c r="L5" i="6"/>
  <c r="K6" i="6"/>
  <c r="K7" i="6"/>
  <c r="K8" i="6"/>
  <c r="K9" i="6"/>
  <c r="K10" i="6"/>
  <c r="K11" i="6"/>
  <c r="K5" i="6"/>
  <c r="J11" i="6"/>
  <c r="J9" i="6"/>
  <c r="J8" i="6"/>
  <c r="S7" i="5" l="1"/>
  <c r="U8" i="4"/>
  <c r="S8" i="4"/>
  <c r="Q8" i="4"/>
  <c r="S12" i="6"/>
  <c r="G5" i="7" s="1"/>
  <c r="U12" i="6"/>
  <c r="H5" i="7" s="1"/>
  <c r="Q12" i="6"/>
  <c r="F5" i="7" s="1"/>
  <c r="V12" i="3"/>
  <c r="H4" i="7" s="1"/>
  <c r="T12" i="3"/>
  <c r="G4" i="7" s="1"/>
  <c r="R12" i="3"/>
  <c r="F4" i="7" s="1"/>
  <c r="H8" i="7"/>
  <c r="H11" i="7" s="1"/>
  <c r="G8" i="7"/>
  <c r="G11" i="7" s="1"/>
  <c r="F8" i="7"/>
  <c r="F11" i="7" s="1"/>
  <c r="I6" i="6" l="1"/>
  <c r="I12" i="6" s="1"/>
  <c r="I7" i="6"/>
  <c r="I8" i="6"/>
  <c r="I9" i="6"/>
  <c r="I10" i="6"/>
  <c r="I11" i="6"/>
  <c r="I5" i="6"/>
  <c r="C5" i="9" l="1"/>
  <c r="C5" i="7"/>
  <c r="N6" i="5"/>
  <c r="O6" i="5" s="1"/>
  <c r="N5" i="5"/>
  <c r="O5" i="5" s="1"/>
  <c r="M6" i="5"/>
  <c r="L6" i="5"/>
  <c r="L5" i="5"/>
  <c r="M5" i="5" s="1"/>
  <c r="K6" i="5"/>
  <c r="K5" i="5"/>
  <c r="I6" i="5"/>
  <c r="I5" i="5"/>
  <c r="I7" i="5" s="1"/>
  <c r="C7" i="7" s="1"/>
  <c r="O8" i="4"/>
  <c r="O6" i="4"/>
  <c r="O7" i="4"/>
  <c r="O5" i="4"/>
  <c r="N6" i="4"/>
  <c r="N7" i="4"/>
  <c r="N5" i="4"/>
  <c r="M8" i="4"/>
  <c r="M6" i="4"/>
  <c r="M7" i="4"/>
  <c r="M5" i="4"/>
  <c r="L6" i="4"/>
  <c r="L7" i="4"/>
  <c r="L5" i="4"/>
  <c r="K6" i="4"/>
  <c r="K7" i="4"/>
  <c r="K5" i="4"/>
  <c r="M7" i="5" l="1"/>
  <c r="D7" i="7" s="1"/>
  <c r="O7" i="5"/>
  <c r="E7" i="7" s="1"/>
  <c r="I8" i="4" l="1"/>
  <c r="I6" i="4"/>
  <c r="I7" i="4"/>
  <c r="I5" i="4"/>
  <c r="AF16" i="1"/>
  <c r="AF17" i="1"/>
  <c r="AF18" i="1"/>
  <c r="AF19" i="1"/>
  <c r="AF20" i="1"/>
  <c r="AF21" i="1"/>
  <c r="AF22" i="1"/>
  <c r="AF23" i="1"/>
  <c r="AF24" i="1"/>
  <c r="AF33" i="1"/>
  <c r="AF35" i="1"/>
  <c r="AF37" i="1"/>
  <c r="AF38" i="1"/>
  <c r="AF39" i="1"/>
  <c r="AF40" i="1"/>
  <c r="AF41" i="1"/>
  <c r="AF42" i="1"/>
  <c r="AF43" i="1"/>
  <c r="AF44" i="1"/>
  <c r="N6" i="2" l="1"/>
  <c r="O6" i="2" s="1"/>
  <c r="N7" i="2"/>
  <c r="O7" i="2" s="1"/>
  <c r="N8" i="2"/>
  <c r="O8" i="2" s="1"/>
  <c r="N9" i="2"/>
  <c r="O9" i="2" s="1"/>
  <c r="N10" i="2"/>
  <c r="O10" i="2" s="1"/>
  <c r="N11" i="2"/>
  <c r="O11" i="2" s="1"/>
  <c r="N12" i="2"/>
  <c r="O12" i="2" s="1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3" i="2"/>
  <c r="O23" i="2" s="1"/>
  <c r="N24" i="2"/>
  <c r="O24" i="2" s="1"/>
  <c r="N25" i="2"/>
  <c r="O25" i="2" s="1"/>
  <c r="N26" i="2"/>
  <c r="O26" i="2" s="1"/>
  <c r="N5" i="2"/>
  <c r="O5" i="2" s="1"/>
  <c r="M5" i="2"/>
  <c r="M7" i="2"/>
  <c r="M11" i="2"/>
  <c r="M15" i="2"/>
  <c r="M19" i="2"/>
  <c r="M23" i="2"/>
  <c r="L6" i="2"/>
  <c r="M6" i="2" s="1"/>
  <c r="L7" i="2"/>
  <c r="L8" i="2"/>
  <c r="M8" i="2" s="1"/>
  <c r="L9" i="2"/>
  <c r="M9" i="2" s="1"/>
  <c r="L10" i="2"/>
  <c r="M10" i="2" s="1"/>
  <c r="L11" i="2"/>
  <c r="L12" i="2"/>
  <c r="M12" i="2" s="1"/>
  <c r="L13" i="2"/>
  <c r="M13" i="2" s="1"/>
  <c r="L14" i="2"/>
  <c r="M14" i="2" s="1"/>
  <c r="L15" i="2"/>
  <c r="L16" i="2"/>
  <c r="M16" i="2" s="1"/>
  <c r="L17" i="2"/>
  <c r="M17" i="2" s="1"/>
  <c r="L18" i="2"/>
  <c r="M18" i="2" s="1"/>
  <c r="L19" i="2"/>
  <c r="L20" i="2"/>
  <c r="M20" i="2" s="1"/>
  <c r="L21" i="2"/>
  <c r="M21" i="2" s="1"/>
  <c r="L22" i="2"/>
  <c r="M22" i="2" s="1"/>
  <c r="L23" i="2"/>
  <c r="L24" i="2"/>
  <c r="M24" i="2" s="1"/>
  <c r="L25" i="2"/>
  <c r="M25" i="2" s="1"/>
  <c r="L26" i="2"/>
  <c r="M26" i="2" s="1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5" i="2"/>
  <c r="E8" i="7" l="1"/>
  <c r="E11" i="7" s="1"/>
  <c r="D8" i="7"/>
  <c r="D11" i="7" s="1"/>
  <c r="I6" i="2" l="1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5" i="2"/>
  <c r="O11" i="3" l="1"/>
  <c r="P11" i="3" s="1"/>
  <c r="M11" i="3"/>
  <c r="N11" i="3" s="1"/>
  <c r="L11" i="3"/>
  <c r="J11" i="3"/>
  <c r="O10" i="3"/>
  <c r="P10" i="3" s="1"/>
  <c r="M10" i="3"/>
  <c r="N10" i="3" s="1"/>
  <c r="L10" i="3"/>
  <c r="J10" i="3"/>
  <c r="O9" i="3"/>
  <c r="P9" i="3" s="1"/>
  <c r="M9" i="3"/>
  <c r="N9" i="3" s="1"/>
  <c r="J9" i="3"/>
  <c r="I9" i="3"/>
  <c r="L9" i="3" s="1"/>
  <c r="O8" i="3"/>
  <c r="P8" i="3" s="1"/>
  <c r="M8" i="3"/>
  <c r="L8" i="3"/>
  <c r="I8" i="3"/>
  <c r="J8" i="3" s="1"/>
  <c r="O7" i="3"/>
  <c r="P7" i="3" s="1"/>
  <c r="M7" i="3"/>
  <c r="N7" i="3" s="1"/>
  <c r="L7" i="3"/>
  <c r="J7" i="3"/>
  <c r="O6" i="3"/>
  <c r="P6" i="3" s="1"/>
  <c r="M6" i="3"/>
  <c r="N6" i="3" s="1"/>
  <c r="L6" i="3"/>
  <c r="J6" i="3"/>
  <c r="O5" i="3"/>
  <c r="P5" i="3" s="1"/>
  <c r="M5" i="3"/>
  <c r="N5" i="3" s="1"/>
  <c r="L5" i="3"/>
  <c r="J5" i="3"/>
  <c r="J12" i="3" s="1"/>
  <c r="O4" i="3"/>
  <c r="P4" i="3" s="1"/>
  <c r="M4" i="3"/>
  <c r="N4" i="3" s="1"/>
  <c r="L4" i="3"/>
  <c r="L12" i="3" s="1"/>
  <c r="J4" i="3"/>
  <c r="P12" i="3" l="1"/>
  <c r="E4" i="7" s="1"/>
  <c r="N8" i="3"/>
  <c r="N12" i="3" s="1"/>
  <c r="D4" i="7" s="1"/>
  <c r="AP44" i="1"/>
  <c r="AQ44" i="1" s="1"/>
  <c r="AR44" i="1" s="1"/>
  <c r="AS44" i="1" s="1"/>
  <c r="AH44" i="1"/>
  <c r="H44" i="1"/>
  <c r="G44" i="1"/>
  <c r="AR43" i="1"/>
  <c r="AS43" i="1" s="1"/>
  <c r="AH43" i="1"/>
  <c r="H43" i="1"/>
  <c r="AP42" i="1"/>
  <c r="AQ42" i="1" s="1"/>
  <c r="AG42" i="1"/>
  <c r="H42" i="1"/>
  <c r="G42" i="1"/>
  <c r="AP41" i="1"/>
  <c r="AQ41" i="1" s="1"/>
  <c r="AG41" i="1"/>
  <c r="H41" i="1"/>
  <c r="G41" i="1"/>
  <c r="AP40" i="1"/>
  <c r="AO40" i="1"/>
  <c r="AH40" i="1"/>
  <c r="H40" i="1"/>
  <c r="G40" i="1"/>
  <c r="AP39" i="1"/>
  <c r="AO39" i="1"/>
  <c r="AH39" i="1"/>
  <c r="H39" i="1"/>
  <c r="G39" i="1"/>
  <c r="AP38" i="1"/>
  <c r="AO38" i="1"/>
  <c r="AH38" i="1"/>
  <c r="H38" i="1"/>
  <c r="G38" i="1"/>
  <c r="AP37" i="1"/>
  <c r="AO37" i="1"/>
  <c r="AH37" i="1"/>
  <c r="H37" i="1"/>
  <c r="G37" i="1"/>
  <c r="AP36" i="1"/>
  <c r="AO36" i="1"/>
  <c r="L36" i="1"/>
  <c r="K36" i="1"/>
  <c r="J36" i="1"/>
  <c r="H36" i="1"/>
  <c r="G36" i="1"/>
  <c r="F36" i="1"/>
  <c r="AP35" i="1"/>
  <c r="AO35" i="1"/>
  <c r="AH35" i="1"/>
  <c r="H35" i="1"/>
  <c r="G35" i="1"/>
  <c r="F35" i="1"/>
  <c r="E35" i="1"/>
  <c r="AP34" i="1"/>
  <c r="AO34" i="1"/>
  <c r="N34" i="1"/>
  <c r="M34" i="1"/>
  <c r="L34" i="1"/>
  <c r="K34" i="1"/>
  <c r="J34" i="1"/>
  <c r="H34" i="1"/>
  <c r="G34" i="1"/>
  <c r="F34" i="1"/>
  <c r="AR33" i="1"/>
  <c r="AS33" i="1" s="1"/>
  <c r="AH33" i="1"/>
  <c r="H33" i="1"/>
  <c r="G33" i="1"/>
  <c r="AP32" i="1"/>
  <c r="AO32" i="1"/>
  <c r="N32" i="1"/>
  <c r="L32" i="1"/>
  <c r="J32" i="1"/>
  <c r="H32" i="1"/>
  <c r="G32" i="1"/>
  <c r="F32" i="1"/>
  <c r="AO31" i="1"/>
  <c r="AQ31" i="1" s="1"/>
  <c r="AR31" i="1" s="1"/>
  <c r="N31" i="1"/>
  <c r="H31" i="1"/>
  <c r="G31" i="1"/>
  <c r="F31" i="1"/>
  <c r="E31" i="1"/>
  <c r="AP30" i="1"/>
  <c r="AO30" i="1"/>
  <c r="AA30" i="1"/>
  <c r="H30" i="1" s="1"/>
  <c r="N30" i="1"/>
  <c r="AF30" i="1" s="1"/>
  <c r="G30" i="1"/>
  <c r="F30" i="1"/>
  <c r="AP29" i="1"/>
  <c r="AO29" i="1"/>
  <c r="N29" i="1"/>
  <c r="L29" i="1"/>
  <c r="H29" i="1"/>
  <c r="G29" i="1"/>
  <c r="F29" i="1"/>
  <c r="AP28" i="1"/>
  <c r="AO28" i="1"/>
  <c r="N28" i="1"/>
  <c r="E28" i="1" s="1"/>
  <c r="L28" i="1"/>
  <c r="H28" i="1"/>
  <c r="G28" i="1"/>
  <c r="F28" i="1"/>
  <c r="AP27" i="1"/>
  <c r="AO27" i="1"/>
  <c r="N27" i="1"/>
  <c r="L27" i="1"/>
  <c r="J27" i="1"/>
  <c r="H27" i="1"/>
  <c r="G27" i="1"/>
  <c r="F27" i="1"/>
  <c r="AP26" i="1"/>
  <c r="AO26" i="1"/>
  <c r="N26" i="1"/>
  <c r="E26" i="1" s="1"/>
  <c r="L26" i="1"/>
  <c r="J26" i="1"/>
  <c r="H26" i="1"/>
  <c r="G26" i="1"/>
  <c r="F26" i="1"/>
  <c r="AP25" i="1"/>
  <c r="AO25" i="1"/>
  <c r="N25" i="1"/>
  <c r="L25" i="1"/>
  <c r="K25" i="1"/>
  <c r="H25" i="1"/>
  <c r="G25" i="1"/>
  <c r="F25" i="1"/>
  <c r="AO24" i="1"/>
  <c r="AQ24" i="1" s="1"/>
  <c r="AR24" i="1" s="1"/>
  <c r="AS24" i="1" s="1"/>
  <c r="AH24" i="1"/>
  <c r="H24" i="1"/>
  <c r="G24" i="1"/>
  <c r="AP23" i="1"/>
  <c r="AO23" i="1"/>
  <c r="AH23" i="1"/>
  <c r="H23" i="1"/>
  <c r="G23" i="1"/>
  <c r="AP22" i="1"/>
  <c r="AO22" i="1"/>
  <c r="AH22" i="1"/>
  <c r="H22" i="1"/>
  <c r="G22" i="1"/>
  <c r="AO21" i="1"/>
  <c r="AQ21" i="1" s="1"/>
  <c r="AH21" i="1"/>
  <c r="H21" i="1"/>
  <c r="G21" i="1"/>
  <c r="AR20" i="1"/>
  <c r="AS20" i="1" s="1"/>
  <c r="AH20" i="1"/>
  <c r="H20" i="1"/>
  <c r="G20" i="1"/>
  <c r="AR19" i="1"/>
  <c r="AS19" i="1" s="1"/>
  <c r="AH19" i="1"/>
  <c r="H19" i="1"/>
  <c r="G19" i="1"/>
  <c r="AP18" i="1"/>
  <c r="AQ18" i="1" s="1"/>
  <c r="AH18" i="1"/>
  <c r="H18" i="1"/>
  <c r="G18" i="1"/>
  <c r="AP17" i="1"/>
  <c r="AO17" i="1"/>
  <c r="AH17" i="1"/>
  <c r="H17" i="1"/>
  <c r="G17" i="1"/>
  <c r="AP16" i="1"/>
  <c r="AO16" i="1"/>
  <c r="AH16" i="1"/>
  <c r="H16" i="1"/>
  <c r="G16" i="1"/>
  <c r="AP15" i="1"/>
  <c r="AO15" i="1"/>
  <c r="N15" i="1"/>
  <c r="L15" i="1"/>
  <c r="K15" i="1"/>
  <c r="J15" i="1"/>
  <c r="AF15" i="1" s="1"/>
  <c r="H15" i="1"/>
  <c r="G15" i="1"/>
  <c r="F15" i="1"/>
  <c r="AP14" i="1"/>
  <c r="AO14" i="1"/>
  <c r="N14" i="1"/>
  <c r="L14" i="1"/>
  <c r="K14" i="1"/>
  <c r="AF14" i="1" s="1"/>
  <c r="H14" i="1"/>
  <c r="G14" i="1"/>
  <c r="F14" i="1"/>
  <c r="AP13" i="1"/>
  <c r="AO13" i="1"/>
  <c r="N13" i="1"/>
  <c r="L13" i="1"/>
  <c r="H13" i="1"/>
  <c r="G13" i="1"/>
  <c r="F13" i="1"/>
  <c r="AP12" i="1"/>
  <c r="AO12" i="1"/>
  <c r="N12" i="1"/>
  <c r="L12" i="1"/>
  <c r="K12" i="1"/>
  <c r="J12" i="1"/>
  <c r="AF12" i="1" s="1"/>
  <c r="H12" i="1"/>
  <c r="G12" i="1"/>
  <c r="F12" i="1"/>
  <c r="AP11" i="1"/>
  <c r="AO11" i="1"/>
  <c r="N11" i="1"/>
  <c r="L11" i="1"/>
  <c r="K11" i="1"/>
  <c r="AF11" i="1" s="1"/>
  <c r="H11" i="1"/>
  <c r="G11" i="1"/>
  <c r="F11" i="1"/>
  <c r="AP10" i="1"/>
  <c r="AO10" i="1"/>
  <c r="N10" i="1"/>
  <c r="L10" i="1"/>
  <c r="H10" i="1"/>
  <c r="G10" i="1"/>
  <c r="F10" i="1"/>
  <c r="AP9" i="1"/>
  <c r="AO9" i="1"/>
  <c r="N9" i="1"/>
  <c r="L9" i="1"/>
  <c r="AF9" i="1" s="1"/>
  <c r="H9" i="1"/>
  <c r="G9" i="1"/>
  <c r="F9" i="1"/>
  <c r="AP8" i="1"/>
  <c r="AO8" i="1"/>
  <c r="N8" i="1"/>
  <c r="L8" i="1"/>
  <c r="K8" i="1"/>
  <c r="J8" i="1"/>
  <c r="H8" i="1"/>
  <c r="G8" i="1"/>
  <c r="F8" i="1"/>
  <c r="AP7" i="1"/>
  <c r="AO7" i="1"/>
  <c r="N7" i="1"/>
  <c r="L7" i="1"/>
  <c r="K7" i="1"/>
  <c r="J7" i="1"/>
  <c r="AF7" i="1" s="1"/>
  <c r="H7" i="1"/>
  <c r="G7" i="1"/>
  <c r="F7" i="1"/>
  <c r="AP6" i="1"/>
  <c r="AO6" i="1"/>
  <c r="N6" i="1"/>
  <c r="L6" i="1"/>
  <c r="H6" i="1"/>
  <c r="G6" i="1"/>
  <c r="F6" i="1"/>
  <c r="AP5" i="1"/>
  <c r="AO5" i="1"/>
  <c r="AB5" i="1"/>
  <c r="H5" i="1" s="1"/>
  <c r="N5" i="1"/>
  <c r="L5" i="1"/>
  <c r="K5" i="1"/>
  <c r="J5" i="1"/>
  <c r="G5" i="1"/>
  <c r="F5" i="1"/>
  <c r="AP4" i="1"/>
  <c r="AO4" i="1"/>
  <c r="N4" i="1"/>
  <c r="L4" i="1"/>
  <c r="K4" i="1"/>
  <c r="J4" i="1"/>
  <c r="H4" i="1"/>
  <c r="G4" i="1"/>
  <c r="F4" i="1"/>
  <c r="AP3" i="1"/>
  <c r="AO3" i="1"/>
  <c r="N3" i="1"/>
  <c r="L3" i="1"/>
  <c r="K3" i="1"/>
  <c r="J3" i="1"/>
  <c r="H3" i="1"/>
  <c r="G3" i="1"/>
  <c r="F3" i="1"/>
  <c r="AF31" i="1" l="1"/>
  <c r="AH31" i="1" s="1"/>
  <c r="AF6" i="1"/>
  <c r="AF8" i="1"/>
  <c r="AF10" i="1"/>
  <c r="AF13" i="1"/>
  <c r="AF25" i="1"/>
  <c r="AF32" i="1"/>
  <c r="AH32" i="1" s="1"/>
  <c r="AF34" i="1"/>
  <c r="AH26" i="1"/>
  <c r="AF26" i="1"/>
  <c r="AH27" i="1"/>
  <c r="AF27" i="1"/>
  <c r="AH29" i="1"/>
  <c r="AF29" i="1"/>
  <c r="AF36" i="1"/>
  <c r="AF3" i="1"/>
  <c r="AF4" i="1"/>
  <c r="AF5" i="1"/>
  <c r="AH28" i="1"/>
  <c r="AF28" i="1"/>
  <c r="AQ5" i="1"/>
  <c r="AR5" i="1" s="1"/>
  <c r="AV5" i="1" s="1"/>
  <c r="AQ7" i="1"/>
  <c r="AQ25" i="1"/>
  <c r="AR25" i="1" s="1"/>
  <c r="AS25" i="1" s="1"/>
  <c r="AQ34" i="1"/>
  <c r="AR34" i="1" s="1"/>
  <c r="AS34" i="1" s="1"/>
  <c r="AQ37" i="1"/>
  <c r="AR37" i="1" s="1"/>
  <c r="AS37" i="1" s="1"/>
  <c r="AQ22" i="1"/>
  <c r="AH42" i="1"/>
  <c r="E9" i="1"/>
  <c r="AH30" i="1"/>
  <c r="AQ15" i="1"/>
  <c r="AR15" i="1" s="1"/>
  <c r="AQ3" i="1"/>
  <c r="AR3" i="1" s="1"/>
  <c r="AV3" i="1" s="1"/>
  <c r="AQ27" i="1"/>
  <c r="AR27" i="1" s="1"/>
  <c r="AS27" i="1" s="1"/>
  <c r="AQ28" i="1"/>
  <c r="AR28" i="1" s="1"/>
  <c r="AS28" i="1" s="1"/>
  <c r="AH41" i="1"/>
  <c r="AR42" i="1"/>
  <c r="AS42" i="1" s="1"/>
  <c r="E15" i="1"/>
  <c r="E12" i="1"/>
  <c r="E3" i="1"/>
  <c r="AQ26" i="1"/>
  <c r="E29" i="1"/>
  <c r="AH3" i="1"/>
  <c r="E10" i="1"/>
  <c r="AH14" i="1"/>
  <c r="AQ13" i="1"/>
  <c r="E25" i="1"/>
  <c r="AQ10" i="1"/>
  <c r="AR10" i="1" s="1"/>
  <c r="AQ11" i="1"/>
  <c r="E13" i="1"/>
  <c r="E27" i="1"/>
  <c r="AH36" i="1"/>
  <c r="AQ38" i="1"/>
  <c r="AR38" i="1" s="1"/>
  <c r="AS38" i="1" s="1"/>
  <c r="E14" i="1"/>
  <c r="E4" i="1"/>
  <c r="E7" i="1"/>
  <c r="AH9" i="1"/>
  <c r="AQ16" i="1"/>
  <c r="AR16" i="1" s="1"/>
  <c r="AS16" i="1" s="1"/>
  <c r="E6" i="1"/>
  <c r="E8" i="1"/>
  <c r="AQ12" i="1"/>
  <c r="AR12" i="1" s="1"/>
  <c r="AS12" i="1" s="1"/>
  <c r="AH15" i="1"/>
  <c r="AQ17" i="1"/>
  <c r="AR17" i="1" s="1"/>
  <c r="AH25" i="1"/>
  <c r="E30" i="1"/>
  <c r="E32" i="1"/>
  <c r="E36" i="1"/>
  <c r="AH10" i="1"/>
  <c r="AH12" i="1"/>
  <c r="AH13" i="1"/>
  <c r="AQ4" i="1"/>
  <c r="AR4" i="1" s="1"/>
  <c r="AH5" i="1"/>
  <c r="AQ6" i="1"/>
  <c r="AR6" i="1" s="1"/>
  <c r="AV6" i="1" s="1"/>
  <c r="AQ14" i="1"/>
  <c r="AH34" i="1"/>
  <c r="AQ35" i="1"/>
  <c r="AR35" i="1" s="1"/>
  <c r="AS35" i="1" s="1"/>
  <c r="AQ23" i="1"/>
  <c r="AQ29" i="1"/>
  <c r="AR29" i="1" s="1"/>
  <c r="AS29" i="1" s="1"/>
  <c r="AQ32" i="1"/>
  <c r="AR32" i="1" s="1"/>
  <c r="AS32" i="1" s="1"/>
  <c r="AQ39" i="1"/>
  <c r="AR39" i="1" s="1"/>
  <c r="AS39" i="1" s="1"/>
  <c r="AV16" i="1"/>
  <c r="AR18" i="1"/>
  <c r="AH8" i="1"/>
  <c r="AH6" i="1"/>
  <c r="AH4" i="1"/>
  <c r="AS5" i="1"/>
  <c r="AR7" i="1"/>
  <c r="E11" i="1"/>
  <c r="AH11" i="1"/>
  <c r="AR26" i="1"/>
  <c r="AS26" i="1" s="1"/>
  <c r="E5" i="1"/>
  <c r="AH7" i="1"/>
  <c r="AQ8" i="1"/>
  <c r="AQ9" i="1"/>
  <c r="AR21" i="1"/>
  <c r="AS21" i="1" s="1"/>
  <c r="AR41" i="1"/>
  <c r="AS41" i="1" s="1"/>
  <c r="AR22" i="1"/>
  <c r="AS22" i="1" s="1"/>
  <c r="AQ30" i="1"/>
  <c r="AS31" i="1"/>
  <c r="AL31" i="1" s="1"/>
  <c r="AQ36" i="1"/>
  <c r="AQ40" i="1"/>
  <c r="E34" i="1"/>
  <c r="AS3" i="1" l="1"/>
  <c r="AV12" i="1"/>
  <c r="AR11" i="1"/>
  <c r="AR13" i="1"/>
  <c r="AR23" i="1"/>
  <c r="AS23" i="1" s="1"/>
  <c r="AS6" i="1"/>
  <c r="AR14" i="1"/>
  <c r="AR8" i="1"/>
  <c r="AS15" i="1"/>
  <c r="AV15" i="1"/>
  <c r="AR36" i="1"/>
  <c r="AS36" i="1" s="1"/>
  <c r="AS17" i="1"/>
  <c r="AV17" i="1"/>
  <c r="AS18" i="1"/>
  <c r="AV18" i="1"/>
  <c r="AH45" i="1"/>
  <c r="AI3" i="1" s="1"/>
  <c r="AJ3" i="1" s="1"/>
  <c r="AK3" i="1" s="1"/>
  <c r="AL3" i="1" s="1"/>
  <c r="AR30" i="1"/>
  <c r="AS30" i="1" s="1"/>
  <c r="AR9" i="1"/>
  <c r="AR40" i="1"/>
  <c r="AS40" i="1" s="1"/>
  <c r="AV4" i="1"/>
  <c r="AS4" i="1"/>
  <c r="AS7" i="1"/>
  <c r="AV7" i="1"/>
  <c r="AV10" i="1"/>
  <c r="AS10" i="1"/>
  <c r="AI4" i="1" l="1"/>
  <c r="AJ4" i="1" s="1"/>
  <c r="AK4" i="1" s="1"/>
  <c r="AS13" i="1"/>
  <c r="AV13" i="1"/>
  <c r="AS11" i="1"/>
  <c r="AV11" i="1"/>
  <c r="AV14" i="1"/>
  <c r="AS14" i="1"/>
  <c r="AI7" i="1"/>
  <c r="AJ7" i="1" s="1"/>
  <c r="AK7" i="1" s="1"/>
  <c r="AL7" i="1" s="1"/>
  <c r="AI11" i="1"/>
  <c r="AJ11" i="1" s="1"/>
  <c r="AK11" i="1" s="1"/>
  <c r="AI8" i="1"/>
  <c r="AJ8" i="1" s="1"/>
  <c r="AK8" i="1" s="1"/>
  <c r="AL4" i="1"/>
  <c r="AV9" i="1"/>
  <c r="AS9" i="1"/>
  <c r="AI38" i="1"/>
  <c r="AJ38" i="1" s="1"/>
  <c r="AK38" i="1" s="1"/>
  <c r="AI28" i="1"/>
  <c r="AJ28" i="1" s="1"/>
  <c r="AK28" i="1" s="1"/>
  <c r="AI22" i="1"/>
  <c r="AJ22" i="1" s="1"/>
  <c r="AK22" i="1" s="1"/>
  <c r="AI5" i="1"/>
  <c r="AJ5" i="1" s="1"/>
  <c r="AK5" i="1" s="1"/>
  <c r="AI41" i="1"/>
  <c r="AJ41" i="1" s="1"/>
  <c r="AK41" i="1" s="1"/>
  <c r="AI25" i="1"/>
  <c r="AJ25" i="1" s="1"/>
  <c r="AK25" i="1" s="1"/>
  <c r="AI15" i="1"/>
  <c r="AJ15" i="1" s="1"/>
  <c r="AK15" i="1" s="1"/>
  <c r="AI29" i="1"/>
  <c r="AJ29" i="1" s="1"/>
  <c r="AK29" i="1" s="1"/>
  <c r="AI37" i="1"/>
  <c r="AJ37" i="1" s="1"/>
  <c r="AK37" i="1" s="1"/>
  <c r="AI42" i="1"/>
  <c r="AJ42" i="1" s="1"/>
  <c r="AK42" i="1" s="1"/>
  <c r="AI35" i="1"/>
  <c r="AJ35" i="1" s="1"/>
  <c r="AK35" i="1" s="1"/>
  <c r="AI33" i="1"/>
  <c r="AJ33" i="1" s="1"/>
  <c r="AK33" i="1" s="1"/>
  <c r="AI19" i="1"/>
  <c r="AJ19" i="1" s="1"/>
  <c r="AK19" i="1" s="1"/>
  <c r="AI13" i="1"/>
  <c r="AJ13" i="1" s="1"/>
  <c r="AK13" i="1" s="1"/>
  <c r="AI34" i="1"/>
  <c r="AJ34" i="1" s="1"/>
  <c r="AK34" i="1" s="1"/>
  <c r="AI9" i="1"/>
  <c r="AJ9" i="1" s="1"/>
  <c r="AK9" i="1" s="1"/>
  <c r="AI31" i="1"/>
  <c r="AJ31" i="1" s="1"/>
  <c r="AI27" i="1"/>
  <c r="AJ27" i="1" s="1"/>
  <c r="AK27" i="1" s="1"/>
  <c r="AI10" i="1"/>
  <c r="AJ10" i="1" s="1"/>
  <c r="AK10" i="1" s="1"/>
  <c r="AI17" i="1"/>
  <c r="AJ17" i="1" s="1"/>
  <c r="AK17" i="1" s="1"/>
  <c r="AI23" i="1"/>
  <c r="AJ23" i="1" s="1"/>
  <c r="AK23" i="1" s="1"/>
  <c r="AI43" i="1"/>
  <c r="AJ43" i="1" s="1"/>
  <c r="AK43" i="1" s="1"/>
  <c r="AI30" i="1"/>
  <c r="AJ30" i="1" s="1"/>
  <c r="AK30" i="1" s="1"/>
  <c r="AI44" i="1"/>
  <c r="AJ44" i="1" s="1"/>
  <c r="AK44" i="1" s="1"/>
  <c r="AI14" i="1"/>
  <c r="AJ14" i="1" s="1"/>
  <c r="AK14" i="1" s="1"/>
  <c r="AI18" i="1"/>
  <c r="AJ18" i="1" s="1"/>
  <c r="AK18" i="1" s="1"/>
  <c r="AI21" i="1"/>
  <c r="AJ21" i="1" s="1"/>
  <c r="AK21" i="1" s="1"/>
  <c r="AI39" i="1"/>
  <c r="AJ39" i="1" s="1"/>
  <c r="AK39" i="1" s="1"/>
  <c r="AI16" i="1"/>
  <c r="AJ16" i="1" s="1"/>
  <c r="AK16" i="1" s="1"/>
  <c r="AI32" i="1"/>
  <c r="AJ32" i="1" s="1"/>
  <c r="AK32" i="1" s="1"/>
  <c r="AI12" i="1"/>
  <c r="AJ12" i="1" s="1"/>
  <c r="AK12" i="1" s="1"/>
  <c r="AI20" i="1"/>
  <c r="AJ20" i="1" s="1"/>
  <c r="AK20" i="1" s="1"/>
  <c r="AI40" i="1"/>
  <c r="AJ40" i="1" s="1"/>
  <c r="AK40" i="1" s="1"/>
  <c r="AI26" i="1"/>
  <c r="AJ26" i="1" s="1"/>
  <c r="AK26" i="1" s="1"/>
  <c r="AI36" i="1"/>
  <c r="AJ36" i="1" s="1"/>
  <c r="AK36" i="1" s="1"/>
  <c r="AI24" i="1"/>
  <c r="AJ24" i="1" s="1"/>
  <c r="AK24" i="1" s="1"/>
  <c r="AI6" i="1"/>
  <c r="AJ6" i="1" s="1"/>
  <c r="AK6" i="1" s="1"/>
  <c r="AV8" i="1"/>
  <c r="AS8" i="1"/>
  <c r="AL8" i="1" l="1"/>
  <c r="AL11" i="1"/>
  <c r="AL36" i="1"/>
  <c r="AL12" i="1"/>
  <c r="AL21" i="1"/>
  <c r="AL30" i="1"/>
  <c r="AL10" i="1"/>
  <c r="AL34" i="1"/>
  <c r="AL35" i="1"/>
  <c r="AL15" i="1"/>
  <c r="AL22" i="1"/>
  <c r="AL24" i="1"/>
  <c r="AL39" i="1"/>
  <c r="AL17" i="1"/>
  <c r="AL9" i="1"/>
  <c r="AL29" i="1"/>
  <c r="AL26" i="1"/>
  <c r="AL32" i="1"/>
  <c r="AL18" i="1"/>
  <c r="AL27" i="1"/>
  <c r="AL13" i="1"/>
  <c r="AL42" i="1"/>
  <c r="AL25" i="1"/>
  <c r="AL28" i="1"/>
  <c r="AL44" i="1"/>
  <c r="AL5" i="1"/>
  <c r="AL6" i="1"/>
  <c r="AL40" i="1"/>
  <c r="AL16" i="1"/>
  <c r="AL14" i="1"/>
  <c r="AL23" i="1"/>
  <c r="AL37" i="1"/>
  <c r="AL41" i="1"/>
  <c r="AL38" i="1"/>
  <c r="AL45" i="1" l="1"/>
</calcChain>
</file>

<file path=xl/comments1.xml><?xml version="1.0" encoding="utf-8"?>
<comments xmlns="http://schemas.openxmlformats.org/spreadsheetml/2006/main">
  <authors>
    <author>Author</author>
  </authors>
  <commentList>
    <comment ref="I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 0.0653 ევრო (გათვლა 5.05.19 1ევრო=3.0274)</t>
        </r>
      </text>
    </comment>
    <comment ref="I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0.0911 ევრო (გათვლა 5.05.19 1ევრო=3.0274)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AU2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დავაკელი ვადაგასული</t>
        </r>
      </text>
    </comment>
    <comment ref="AA3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1640 გადავეცით სოფლის ექიმებს</t>
        </r>
      </text>
    </comment>
    <comment ref="AA3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სოფლის ექიმები</t>
        </r>
      </text>
    </comment>
    <comment ref="AU3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31 მაიის ეწურება მოქმედების ვადა</t>
        </r>
      </text>
    </comment>
    <comment ref="AG4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 0.0653 ევრო (გათვლა 5.05.19 1ევრო=3.0274)</t>
        </r>
      </text>
    </comment>
    <comment ref="AG4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0.0911 ევრო (გათვლა 5.05.19 1ევრო=3.0274)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BG2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დავაკელი ვადაგასული</t>
        </r>
      </text>
    </comment>
    <comment ref="AK3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1640 გადავეცით სოფლის ექიმებს</t>
        </r>
      </text>
    </comment>
    <comment ref="AK3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სოფლის ექიმები</t>
        </r>
      </text>
    </comment>
    <comment ref="BG3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31 მაიის ეწურება მოქმედების ვადა</t>
        </r>
      </text>
    </comment>
    <comment ref="AS4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 0.0653 ევრო (გათვლა 5.05.19 1ევრო=3.0274)</t>
        </r>
      </text>
    </comment>
    <comment ref="AS4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0.0911 ევრო (გათვლა 5.05.19 1ევრო=3.0274)</t>
        </r>
      </text>
    </comment>
  </commentList>
</comments>
</file>

<file path=xl/sharedStrings.xml><?xml version="1.0" encoding="utf-8"?>
<sst xmlns="http://schemas.openxmlformats.org/spreadsheetml/2006/main" count="725" uniqueCount="294">
  <si>
    <t>N</t>
  </si>
  <si>
    <t>მედიკამენტის დასახელება</t>
  </si>
  <si>
    <t>სავაჭრო დასახელება</t>
  </si>
  <si>
    <t>მოქმედების ვადა</t>
  </si>
  <si>
    <t>საშუალო ხარჯვა 2017</t>
  </si>
  <si>
    <t>საშუალო ხარჯვა 2018 იანვარი-აგვისტო</t>
  </si>
  <si>
    <t>საშუალო ხარჯვა სექტემბერი-დეკემბერი</t>
  </si>
  <si>
    <t>საშუალო ხარჯვა 2019</t>
  </si>
  <si>
    <t>ივლისი 2017</t>
  </si>
  <si>
    <t>აგვისტო 2017</t>
  </si>
  <si>
    <t>სექტემბერი 2017</t>
  </si>
  <si>
    <t>ოქტომბერი 2017</t>
  </si>
  <si>
    <t>ნოემბერი 2017</t>
  </si>
  <si>
    <t>დეკემბერი 2017</t>
  </si>
  <si>
    <t>იანვარი 2018</t>
  </si>
  <si>
    <t>თებერვალი 2018</t>
  </si>
  <si>
    <t>მარტი 2018</t>
  </si>
  <si>
    <t>აპრილი 2018</t>
  </si>
  <si>
    <t>მაისი 2018</t>
  </si>
  <si>
    <t>ივნისი 2018</t>
  </si>
  <si>
    <t>ივლისი 2018</t>
  </si>
  <si>
    <t>აგვისტო 2018</t>
  </si>
  <si>
    <t>სექტემბერი 2018</t>
  </si>
  <si>
    <t>ოქტომბერი 2018</t>
  </si>
  <si>
    <t>ნოემბერი 2018</t>
  </si>
  <si>
    <t>დეკემბერი 2018</t>
  </si>
  <si>
    <t>იანვარი 2019</t>
  </si>
  <si>
    <t>ხარჯვა ბებეფიციარი – თებერვალი 2019</t>
  </si>
  <si>
    <t>ხარჯვა ბებეფიციარი – მარტი2019</t>
  </si>
  <si>
    <t>ხარჯვა ბებეფიციარი – აპრილი 2019</t>
  </si>
  <si>
    <t>ერთეულის სავარაუდო ღირებულება (2017 -2018 წლის ერთეულის ფასის მიხედვით (ბოლო სატენდერო ღირებულება)) – ლარი</t>
  </si>
  <si>
    <t>ნაშთი  საქართველო სრულად 21.05.2019მდგომარეობით</t>
  </si>
  <si>
    <t>ენალაპრილი 10მგ</t>
  </si>
  <si>
    <t>01.06.2020</t>
  </si>
  <si>
    <t>ენალაპრილი 20მგ</t>
  </si>
  <si>
    <t>ენაპი 20მგ</t>
  </si>
  <si>
    <t>01.04.2020</t>
  </si>
  <si>
    <t>ლოსარტანი 100მგ</t>
  </si>
  <si>
    <t>ლოზაპი/ლორისტა</t>
  </si>
  <si>
    <t>31.05.2019</t>
  </si>
  <si>
    <t>ამლოდიპინი 5მგ</t>
  </si>
  <si>
    <t>01.05.2020</t>
  </si>
  <si>
    <t>მეტოპროლოლი 100მგ</t>
  </si>
  <si>
    <t>ეგილოკი 100მგ</t>
  </si>
  <si>
    <t>01.03.2022</t>
  </si>
  <si>
    <t>ამიოდარონი 200მგ</t>
  </si>
  <si>
    <t>კორდარონი</t>
  </si>
  <si>
    <t>01.03.2020</t>
  </si>
  <si>
    <t>იზოსორბიდის მონონიტრატი 40მგ</t>
  </si>
  <si>
    <t>მონოსანი 40მგ</t>
  </si>
  <si>
    <t>ვარფარინი 2.5მგ</t>
  </si>
  <si>
    <t>ვარფარინ–ნიკომედი 2.5მგ</t>
  </si>
  <si>
    <t>01.02.2022</t>
  </si>
  <si>
    <t>კლოპიდოგრელი 75მგ</t>
  </si>
  <si>
    <t>ზილტი 75მგ/პეგორელი 75მგ</t>
  </si>
  <si>
    <t>01.07.2020</t>
  </si>
  <si>
    <t>დიგოქსინი 0.25მგ</t>
  </si>
  <si>
    <t>დიგოქსინი–გრინდექსი</t>
  </si>
  <si>
    <t>01.11.2021</t>
  </si>
  <si>
    <t>ფუროსემიდი 40მგ</t>
  </si>
  <si>
    <t>01.11.2020</t>
  </si>
  <si>
    <t>სპირონოლაქტონი 25მგ</t>
  </si>
  <si>
    <t>ვეროშპირონი 25მგ</t>
  </si>
  <si>
    <t>01.01.2022</t>
  </si>
  <si>
    <t>ატორვასტატინი 20მგ</t>
  </si>
  <si>
    <t>ტორვიტინი 20მგ N30</t>
  </si>
  <si>
    <t>11.01.2021</t>
  </si>
  <si>
    <t>ატორვასტატინი 10მგ</t>
  </si>
  <si>
    <t>01.05.2021</t>
  </si>
  <si>
    <t>ატორვასტატინი 40მგ</t>
  </si>
  <si>
    <t>ატორისი 40მგ</t>
  </si>
  <si>
    <t>30.09.2020</t>
  </si>
  <si>
    <t>პერინდოპრილ /ამლოდიპინი 4მგ/5მგ ან 5მგ/5მგ</t>
  </si>
  <si>
    <t>ამრადიპინი 4/5მგ</t>
  </si>
  <si>
    <t>პერინდოპრილ /ამლოდიპინი 8მგ/10მგ ან 10მგ/10მგ</t>
  </si>
  <si>
    <t>ამრადიპინი 8/10მგ</t>
  </si>
  <si>
    <t>ლოსარტან/ჰიდროქლორთიაზიდი 50მგ/12.5მგ</t>
  </si>
  <si>
    <t>ლორისტა H 50მგ/12.5მგ</t>
  </si>
  <si>
    <t>01.07.2023</t>
  </si>
  <si>
    <t>ბისოპროლოლი 5მგ</t>
  </si>
  <si>
    <t>ემკორი 5მგ</t>
  </si>
  <si>
    <t>01.08.2021</t>
  </si>
  <si>
    <t>ნებივოლოლი 5მგ</t>
  </si>
  <si>
    <t>ნებივოლოლი შტადა 5მგ/დანები 5მგ</t>
  </si>
  <si>
    <t>აცეტილსალიცილის მჟავა+მაგნიუმის ჰიდროქსიდი 75მგ</t>
  </si>
  <si>
    <t>კარდიომაგნილი 75მგ</t>
  </si>
  <si>
    <t>31.03.2021</t>
  </si>
  <si>
    <t>აცეტილსალიცილის მჟავა+მაგნიუმის ჰიდროქსიდი 150მგ</t>
  </si>
  <si>
    <t>კარდიომაგნილი 150მგ</t>
  </si>
  <si>
    <t>01.03.2021</t>
  </si>
  <si>
    <t>მეტფორმინი 1000მგ</t>
  </si>
  <si>
    <t>სიოფორი 1000მგ</t>
  </si>
  <si>
    <t>04.01.2021</t>
  </si>
  <si>
    <t>გლიკლაზიდი 60მგ</t>
  </si>
  <si>
    <t>დიაბეტონი MR 60მგ/ აპო გლიკლაზიდი 60მგ</t>
  </si>
  <si>
    <t>31.05.2020</t>
  </si>
  <si>
    <t>გლიმეპირიდი 2მგ</t>
  </si>
  <si>
    <t>ამარილი 2mg</t>
  </si>
  <si>
    <t>01.06.2021</t>
  </si>
  <si>
    <t>თიამაზოლი 5მგ</t>
  </si>
  <si>
    <t>თიროზოლი 5მგ</t>
  </si>
  <si>
    <t>13.05.2022</t>
  </si>
  <si>
    <t>ლევოთიროქსინი  50მკგ</t>
  </si>
  <si>
    <t>ლ–თიროქსინი/ეუთიროქსი 50მკგ</t>
  </si>
  <si>
    <t>30.04.2021</t>
  </si>
  <si>
    <t>ბუდესონიდი 0.5მგ/2მლ</t>
  </si>
  <si>
    <t>პულმიკორტი 0.5მგ/მლ 2მლ</t>
  </si>
  <si>
    <t>ალბუტეროლი  2.5მგ/0.5მლ 0.5მლ</t>
  </si>
  <si>
    <t>ალბუტეროლის სულფატი 0.5% 2.5მგ/0.5მლ</t>
  </si>
  <si>
    <t>31.01.2019</t>
  </si>
  <si>
    <t xml:space="preserve">სალმეტეროლი/ფლუტიკაზონი   50მკგ/500მკგ საინჰალაციო ფხვნილი                   </t>
  </si>
  <si>
    <t>სერეტიდი დისკუსი 50/250მკგ ინჰ 60 დოზა/ ეარფლუსალი</t>
  </si>
  <si>
    <t>30.04.2020</t>
  </si>
  <si>
    <t xml:space="preserve">სალმეტეროლი/ფლუტიკაზონი   50მკგ/250მკგ საინჰალაციო ფხვნილი                   </t>
  </si>
  <si>
    <t>საფლუტინი 50/500მკგ</t>
  </si>
  <si>
    <t>სალბუტამოლი 100მკგ დოზა საინჰალაციო აეროზოლი</t>
  </si>
  <si>
    <t>სალბუტამოლი ინტელი აეროზ. 200 დოზა</t>
  </si>
  <si>
    <t xml:space="preserve">აკლიდინიუმის ბრომიდი საინჰალაციო ფხვნილი (კაფსულა) ინჰალატორთან ერთად/322მკგ/დოზა </t>
  </si>
  <si>
    <t>ბრეტარისი ჯენუეირი 322მკგ 60 დოზა</t>
  </si>
  <si>
    <t>მეთილპრედნიზოლონი 16მგ</t>
  </si>
  <si>
    <t>მედროლი 16მგ</t>
  </si>
  <si>
    <t>01.06.2022</t>
  </si>
  <si>
    <t>კარბიდოპა,ლევოდოპა 250მგ/25მგ</t>
  </si>
  <si>
    <t>ნაკომი</t>
  </si>
  <si>
    <t>ბენსერაზიდის ჰიდროქლორიდი,ლევოდოპა 125მგ/25მგ</t>
  </si>
  <si>
    <t>მადოპარი</t>
  </si>
  <si>
    <t>ლევეტირაცეტამი 500მგ</t>
  </si>
  <si>
    <t>ლევეტირაცეტამი აკორდი</t>
  </si>
  <si>
    <t>05.11.2020</t>
  </si>
  <si>
    <t>კარბამაზეპინი 200მგ</t>
  </si>
  <si>
    <t>ნეიროლეფსინი 200მგ</t>
  </si>
  <si>
    <t>01.12.2021</t>
  </si>
  <si>
    <t>ნატრიუმის ვალპროატი 300მგ</t>
  </si>
  <si>
    <t>დეპაკინი ქრონო 300მგ</t>
  </si>
  <si>
    <t>07.01.2021</t>
  </si>
  <si>
    <t>ნატრიუმის ვალპროატი 500მგ</t>
  </si>
  <si>
    <t>დეპაკინი ქრონო 500მგ</t>
  </si>
  <si>
    <t>ლემოტრიჯინი 100მგ</t>
  </si>
  <si>
    <t>ლამოტრიქსი 100მგ</t>
  </si>
  <si>
    <t>01.10.2021</t>
  </si>
  <si>
    <t>ლემოტრიჯინი 25მგ</t>
  </si>
  <si>
    <t>ლამიქტალი 25მგ</t>
  </si>
  <si>
    <t>03.07.2021</t>
  </si>
  <si>
    <t>სულ დახარჯული მედიკამენტის რაოდენობა</t>
  </si>
  <si>
    <t xml:space="preserve">სულ დაახლოებითი ხარჯი (ლარი) </t>
  </si>
  <si>
    <t>კოეფიციენტი</t>
  </si>
  <si>
    <t>20 000 000 ლარის პირობითი განაწილება მედიკამენტების და არსებული ხარჯვის სურათის მიხედვით</t>
  </si>
  <si>
    <t>მედიკამენტების რაოდენობები 20 მილიონის პირობითად განაწილების ფარგლებში</t>
  </si>
  <si>
    <t>პაციენტზე მედიკამენტის ხარჯვა (საპენსიო ასაკი)-4 თვის მონაცემი</t>
  </si>
  <si>
    <t>პაციენტზე მედიკამენტის ხარჯვა (შშმპ) 4 თვის მონაცემი</t>
  </si>
  <si>
    <t>AO და AP საშუალო 4 თვის</t>
  </si>
  <si>
    <t>პაციენტების რაოდენობა?</t>
  </si>
  <si>
    <t>ბენეფიციარების საჭირო რაოდენობა მარაგის დასახარჯად</t>
  </si>
  <si>
    <t>თვიური ხარჯვა-აბი (არსებული სურათი)</t>
  </si>
  <si>
    <t>მედიკამენტის ხარჯი (აბი) 2019 წლის 1 ივნისამდე</t>
  </si>
  <si>
    <t>ერთეულის დაახლოებითი ფასი (ლარი)</t>
  </si>
  <si>
    <t>სულ ხარჯი 1 ივნისის მდგომარეობით (ლარი)</t>
  </si>
  <si>
    <t>წლიური რეალიზაციის სურათი -აბი (ააიპ-ს ინფო დაგეგმვისას)</t>
  </si>
  <si>
    <t>წლიური რეალიზაციის ხარჯი (ლარი)</t>
  </si>
  <si>
    <t>სცენარი 1-არსებული ხარჯვის (აბი) გაორმაგებით წლიური ხარჯი</t>
  </si>
  <si>
    <t>სცენარი 1-ბიუჯეტი</t>
  </si>
  <si>
    <t>სცენარი 2-არსებული ხარჯვის (აბი) გაათმაგებით წლიური ხარჯი</t>
  </si>
  <si>
    <t>სცენარი 2-ბიუჯეტი</t>
  </si>
  <si>
    <t>ლემოტრიჯინი 250მგ</t>
  </si>
  <si>
    <t xml:space="preserve"> ხარჯვა ბებეფიციარი –  მაისი 2019 </t>
  </si>
  <si>
    <t>დაგეგმილი წლიური საჭიროება</t>
  </si>
  <si>
    <t>მიმართულება</t>
  </si>
  <si>
    <t>გულ-სისხლძარღვთა</t>
  </si>
  <si>
    <t>ნევროლოგია</t>
  </si>
  <si>
    <t>ფილტვის დაავადებები</t>
  </si>
  <si>
    <t>დიაბეტი</t>
  </si>
  <si>
    <t>ფარისებრის დაავადებები</t>
  </si>
  <si>
    <t>სცენარი 5-ბიუჯეტი</t>
  </si>
  <si>
    <t>სცენარი 4-ბიუჯეტი</t>
  </si>
  <si>
    <t>სცენარი 3-ბიუჯეტი</t>
  </si>
  <si>
    <r>
      <t xml:space="preserve">სცენარი 1-ხარჯვის 
</t>
    </r>
    <r>
      <rPr>
        <sz val="11"/>
        <color rgb="FFFF0000"/>
        <rFont val="Sylfaen"/>
        <family val="1"/>
        <charset val="204"/>
      </rPr>
      <t>გაორმაგებით</t>
    </r>
    <r>
      <rPr>
        <sz val="11"/>
        <color theme="1"/>
        <rFont val="Sylfaen"/>
        <family val="1"/>
        <charset val="204"/>
      </rPr>
      <t>-ბიუჯეტი (ლარი)</t>
    </r>
  </si>
  <si>
    <r>
      <t xml:space="preserve">სცენარი 2-ხარჯვის </t>
    </r>
    <r>
      <rPr>
        <sz val="11"/>
        <color rgb="FFFF0000"/>
        <rFont val="Sylfaen"/>
        <family val="1"/>
        <charset val="204"/>
      </rPr>
      <t>გაათმაგებით</t>
    </r>
    <r>
      <rPr>
        <sz val="11"/>
        <color theme="1"/>
        <rFont val="Sylfaen"/>
        <family val="1"/>
        <charset val="204"/>
      </rPr>
      <t>-ბიუჯეტი (ლარი)</t>
    </r>
  </si>
  <si>
    <r>
      <t xml:space="preserve">სცენარი 3-ხარჯვის </t>
    </r>
    <r>
      <rPr>
        <sz val="11"/>
        <color rgb="FFFF0000"/>
        <rFont val="Sylfaen"/>
        <family val="1"/>
        <charset val="204"/>
      </rPr>
      <t>გასამმაგებით</t>
    </r>
    <r>
      <rPr>
        <sz val="11"/>
        <color theme="1"/>
        <rFont val="Sylfaen"/>
        <family val="1"/>
        <charset val="204"/>
      </rPr>
      <t>-ბიუჯეტი (ლარი)</t>
    </r>
  </si>
  <si>
    <r>
      <t xml:space="preserve">სცენარი 4-ხარჯვის </t>
    </r>
    <r>
      <rPr>
        <sz val="11"/>
        <color rgb="FFFF0000"/>
        <rFont val="Sylfaen"/>
        <family val="1"/>
        <charset val="204"/>
      </rPr>
      <t>გაოთხმაგებით</t>
    </r>
    <r>
      <rPr>
        <sz val="11"/>
        <color theme="1"/>
        <rFont val="Sylfaen"/>
        <family val="1"/>
        <charset val="204"/>
      </rPr>
      <t>-ბიუჯეტი (ლარი)</t>
    </r>
  </si>
  <si>
    <r>
      <t xml:space="preserve">სცენარი 5-ხარჯვის </t>
    </r>
    <r>
      <rPr>
        <sz val="11"/>
        <color rgb="FFFF0000"/>
        <rFont val="Sylfaen"/>
        <family val="1"/>
        <charset val="204"/>
      </rPr>
      <t>გახუთმაგებით</t>
    </r>
    <r>
      <rPr>
        <sz val="11"/>
        <color theme="1"/>
        <rFont val="Sylfaen"/>
        <family val="1"/>
        <charset val="204"/>
      </rPr>
      <t>-ბიუჯეტი (ლარი)</t>
    </r>
  </si>
  <si>
    <t>სცენარი 3-არსებული ხარჯვის (აბი) გასამმაგებით წლიური ხარჯი</t>
  </si>
  <si>
    <t>სცენარი 4-არსებული ხარჯვის (აბი) გაოთხმაგებით წლიური ხარჯი</t>
  </si>
  <si>
    <t>სცენარი 5-არსებული ხარჯვის (აბი) გახუთმაგებით წლიური ხარჯი</t>
  </si>
  <si>
    <t>წლიური ბიუჯეტი</t>
  </si>
  <si>
    <t>ახალი დარეგისტრირებული</t>
  </si>
  <si>
    <t>აფთიაქში მისული</t>
  </si>
  <si>
    <t>ოქტომბერი</t>
  </si>
  <si>
    <t>ნოემბერი</t>
  </si>
  <si>
    <t>დეკემბერი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</si>
  <si>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</si>
  <si>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</si>
  <si>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</si>
  <si>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</si>
  <si>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</si>
  <si>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</si>
  <si>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</si>
  <si>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</si>
  <si>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სოცდაუცველი</t>
  </si>
  <si>
    <t>საპენსიო</t>
  </si>
  <si>
    <t>შშმპ</t>
  </si>
  <si>
    <t>სექტემბერი</t>
  </si>
  <si>
    <t>რეგისტრირებული პაციენტების რაოდენობა</t>
  </si>
  <si>
    <t>ხარჯი ერთ პაციენტზე</t>
  </si>
  <si>
    <t>პაციენტების რაოდენობა (პროგნოზი)</t>
  </si>
  <si>
    <t>რეგისტრირებული პაციენტი (საშუალოდ თვეში)</t>
  </si>
  <si>
    <t>აფთიაქში მიმართული პაციენტის (საშუალოდ თვეში)</t>
  </si>
  <si>
    <t>სულ პაციენტი 2019 ბოლოს</t>
  </si>
  <si>
    <t>სხვა</t>
  </si>
  <si>
    <t xml:space="preserve"> სოცდაუცველი</t>
  </si>
  <si>
    <t xml:space="preserve"> საპენსიო</t>
  </si>
  <si>
    <t xml:space="preserve"> შშმპ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</si>
  <si>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</si>
  <si>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</si>
  <si>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</si>
  <si>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</si>
  <si>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</si>
  <si>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</si>
  <si>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</si>
  <si>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</si>
  <si>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</si>
  <si>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100 ქულაზე ნაკლები (მედიკ.რაოდენობა)</t>
  </si>
  <si>
    <t>100 ქულაზე ნაკლები(ბენეფ. რაოდენობა)</t>
  </si>
  <si>
    <t>პენსიონერი(მედიკ.რაოდენობა)</t>
  </si>
  <si>
    <t>პენსიონერი(ბენეფ. რაოდენობა)</t>
  </si>
  <si>
    <t>შშმ(მედიკ.რაოდენობა)</t>
  </si>
  <si>
    <t>შშმ(ბენეფ. რაოდენობა)</t>
  </si>
  <si>
    <t>100 ქულაზე ნაკლები(მედიკ.რაოდენობა)</t>
  </si>
  <si>
    <t>სტატუსის არმქონე(მედიკ.რაოდენობა)</t>
  </si>
  <si>
    <t>სტატუსის არმქონე(ბენეფ. რაოდენობა)</t>
  </si>
  <si>
    <t>L - თიროქსინი</t>
  </si>
  <si>
    <t>ალბუტეროლის სულფატი 0.5 მლ</t>
  </si>
  <si>
    <t>ამარილი</t>
  </si>
  <si>
    <t>ამლოდიპინი</t>
  </si>
  <si>
    <t>ამრადიპინი 4მგ/5მგ</t>
  </si>
  <si>
    <t>ამრადიპინი 8მგ/10მგ</t>
  </si>
  <si>
    <t>აპო-გლიკლაზიდ MR 60მგ</t>
  </si>
  <si>
    <t>ატორვასტატინი</t>
  </si>
  <si>
    <t>ატორისი 20მგ</t>
  </si>
  <si>
    <t xml:space="preserve">ბრეტარისი ჯენუეირი 322 მკგ/დ </t>
  </si>
  <si>
    <t>დანები</t>
  </si>
  <si>
    <t>დიაბეტონი MR</t>
  </si>
  <si>
    <t>დიგოქსინი გრინდექსი</t>
  </si>
  <si>
    <t>ეარფლუსალი ფორსპირო 50მკგ/250მკგ</t>
  </si>
  <si>
    <t>ეგილოკი</t>
  </si>
  <si>
    <t>ემკორი</t>
  </si>
  <si>
    <t>ენალაპრილი</t>
  </si>
  <si>
    <t>ენაპი</t>
  </si>
  <si>
    <t>ეუთიროქსი</t>
  </si>
  <si>
    <t>ვარფარინ-ნიკომედი</t>
  </si>
  <si>
    <t>ვეროშპირონი</t>
  </si>
  <si>
    <t>ზილტი</t>
  </si>
  <si>
    <t>თიროზოლი</t>
  </si>
  <si>
    <t>კარდიომაგნილი 150</t>
  </si>
  <si>
    <t>კარდიომაგნილი 75</t>
  </si>
  <si>
    <t>ლამიქტალი</t>
  </si>
  <si>
    <t>ლამოტრიქსი</t>
  </si>
  <si>
    <t>ლოზაპი</t>
  </si>
  <si>
    <t>ლორისტა</t>
  </si>
  <si>
    <t>ლოსარ–დენკი 100</t>
  </si>
  <si>
    <t>მადოპარი 100/25</t>
  </si>
  <si>
    <t>მედროლი</t>
  </si>
  <si>
    <t xml:space="preserve">მონოსანი </t>
  </si>
  <si>
    <t>ნაკომი 250მგ/25მგ</t>
  </si>
  <si>
    <t>ნებივოლოლი შტადა</t>
  </si>
  <si>
    <t>ნეიროლეფსინი</t>
  </si>
  <si>
    <t>პეგორელი</t>
  </si>
  <si>
    <t>პულმიკორტი 0.5 მგ</t>
  </si>
  <si>
    <t>სალბუტამოლ ინტელი</t>
  </si>
  <si>
    <t>სალბუტამოლი</t>
  </si>
  <si>
    <t>საფლუტინი 50მკგ/250მკგ</t>
  </si>
  <si>
    <t>საფლუტინი 50მკგ/500მკგ</t>
  </si>
  <si>
    <t>სერეტიდი</t>
  </si>
  <si>
    <t>სიოფორი</t>
  </si>
  <si>
    <t>ტორვიტინი</t>
  </si>
  <si>
    <t>ფუროსემიდი</t>
  </si>
  <si>
    <t>სულ</t>
  </si>
  <si>
    <t xml:space="preserve"> </t>
  </si>
  <si>
    <t>სოციალურად დაუცველი</t>
  </si>
  <si>
    <t>პენსიონერი</t>
  </si>
  <si>
    <t>შშმ</t>
  </si>
  <si>
    <t>სტატუსის არმქონე</t>
  </si>
  <si>
    <t xml:space="preserve">მარტი </t>
  </si>
  <si>
    <t>რეგისტრირებული ბენეფიციარი (საშუალოდ თვეში)</t>
  </si>
  <si>
    <t>საშუალო ხარჯვა (დაახლოებითი სურათი)</t>
  </si>
  <si>
    <t>საშუალო ხარჯვა</t>
  </si>
  <si>
    <t>2018 იანვარი-აგვისტო</t>
  </si>
  <si>
    <t>2018 სექტემბერი-დეკემბერი</t>
  </si>
  <si>
    <t>2017 (6 თვე)</t>
  </si>
  <si>
    <t>2019 (5 თვე)</t>
  </si>
  <si>
    <t>სულ ხარჯვა</t>
  </si>
  <si>
    <t>საშუალო ხარჯი 1 ბენეფიციარზე</t>
  </si>
  <si>
    <t>სულ ხარჯი</t>
  </si>
  <si>
    <t>რეგისტრირებული ბენეფიციარი</t>
  </si>
  <si>
    <t>საშუალ ხარჯი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</si>
</sst>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_(* #,##0.0000_);_(* \(#,##0.0000\);_(* &quot;-&quot;??_);_(@_)"/>
    <numFmt numFmtId="167" formatCode="_(* #,##0.00000000_);_(* \(#,##0.00000000\);_(* &quot;-&quot;??_);_(@_)"/>
    <numFmt numFmtId="168" formatCode="_(* #,##0.0000000_);_(* \(#,##0.0000000\);_(* &quot;-&quot;??_);_(@_)"/>
    <numFmt numFmtId="169" formatCode="_(* #,##0.00000_);_(* \(#,##0.00000\);_(* &quot;-&quot;??_);_(@_)"/>
    <numFmt numFmtId="170" formatCode="_-* #,##0\ _₾_-;\-* #,##0\ _₾_-;_-* &quot;-&quot;??\ _₾_-;_-@_-"/>
    <numFmt numFmtId="171" formatCode="_-* #,##0.00\ _₾_-;\-* #,##0.00\ _₾_-;_-* &quot;-&quot;??\ _₾_-;_-@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7"/>
      <color theme="1"/>
      <name val="Calibri"/>
      <family val="2"/>
      <scheme val="minor"/>
    </font>
    <font>
      <b/>
      <sz val="7"/>
      <name val="Arial"/>
      <family val="2"/>
    </font>
    <font>
      <sz val="9"/>
      <name val="Calibri"/>
      <family val="2"/>
      <scheme val="minor"/>
    </font>
    <font>
      <sz val="9"/>
      <name val="Menlo Bold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FF000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sz val="9"/>
      <name val="Sylfaen"/>
      <family val="1"/>
      <charset val="204"/>
    </font>
    <font>
      <sz val="9"/>
      <color theme="1"/>
      <name val="Sylfaen"/>
      <family val="1"/>
      <charset val="204"/>
    </font>
    <font>
      <sz val="9"/>
      <color rgb="FFFF0000"/>
      <name val="Sylfaen"/>
      <family val="1"/>
      <charset val="204"/>
    </font>
    <font>
      <b/>
      <sz val="9"/>
      <color rgb="FFFF0000"/>
      <name val="Sylfae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Sylfaen"/>
      <family val="1"/>
      <charset val="204"/>
    </font>
    <font>
      <sz val="11"/>
      <name val="Sylfaen"/>
      <family val="1"/>
      <charset val="204"/>
    </font>
    <font>
      <sz val="11"/>
      <color rgb="FFFF0000"/>
      <name val="Sylfaen"/>
      <family val="1"/>
      <charset val="204"/>
    </font>
    <font>
      <b/>
      <sz val="11"/>
      <color rgb="FFFF0000"/>
      <name val="Sylfaen"/>
      <family val="1"/>
      <charset val="204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7" fillId="0" borderId="0"/>
    <xf numFmtId="0" fontId="1" fillId="0" borderId="0"/>
    <xf numFmtId="171" fontId="1" fillId="0" borderId="0" applyFont="0" applyFill="0" applyBorder="0" applyAlignment="0" applyProtection="0"/>
  </cellStyleXfs>
  <cellXfs count="228">
    <xf numFmtId="0" fontId="0" fillId="0" borderId="0" xfId="0"/>
    <xf numFmtId="1" fontId="3" fillId="0" borderId="1" xfId="2" applyNumberFormat="1" applyFont="1" applyFill="1" applyBorder="1" applyAlignment="1">
      <alignment horizontal="center" vertical="center" wrapText="1"/>
    </xf>
    <xf numFmtId="2" fontId="3" fillId="0" borderId="1" xfId="2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textRotation="90" wrapText="1"/>
    </xf>
    <xf numFmtId="164" fontId="3" fillId="0" borderId="1" xfId="0" applyNumberFormat="1" applyFont="1" applyFill="1" applyBorder="1" applyAlignment="1">
      <alignment horizontal="center" vertical="center" textRotation="90" wrapText="1"/>
    </xf>
    <xf numFmtId="0" fontId="3" fillId="0" borderId="1" xfId="0" applyNumberFormat="1" applyFont="1" applyFill="1" applyBorder="1" applyAlignment="1">
      <alignment vertical="center" textRotation="90"/>
    </xf>
    <xf numFmtId="0" fontId="3" fillId="0" borderId="1" xfId="0" applyNumberFormat="1" applyFont="1" applyFill="1" applyBorder="1" applyAlignment="1">
      <alignment horizontal="center" vertical="center" textRotation="90" wrapText="1"/>
    </xf>
    <xf numFmtId="0" fontId="3" fillId="0" borderId="1" xfId="1" applyNumberFormat="1" applyFont="1" applyFill="1" applyBorder="1" applyAlignment="1">
      <alignment horizontal="center" vertical="center" textRotation="90" wrapText="1"/>
    </xf>
    <xf numFmtId="43" fontId="4" fillId="0" borderId="1" xfId="1" applyFont="1" applyFill="1" applyBorder="1" applyAlignment="1">
      <alignment horizontal="center" vertical="center" textRotation="90" wrapText="1"/>
    </xf>
    <xf numFmtId="0" fontId="0" fillId="0" borderId="0" xfId="0" applyNumberFormat="1" applyFont="1" applyFill="1" applyBorder="1" applyAlignment="1"/>
    <xf numFmtId="165" fontId="5" fillId="0" borderId="1" xfId="0" applyNumberFormat="1" applyFont="1" applyBorder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textRotation="90" wrapText="1"/>
    </xf>
    <xf numFmtId="0" fontId="0" fillId="0" borderId="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top" wrapText="1"/>
    </xf>
    <xf numFmtId="166" fontId="9" fillId="0" borderId="1" xfId="1" applyNumberFormat="1" applyFont="1" applyFill="1" applyBorder="1" applyAlignment="1"/>
    <xf numFmtId="164" fontId="9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/>
    <xf numFmtId="43" fontId="4" fillId="0" borderId="1" xfId="1" applyFont="1" applyFill="1" applyBorder="1" applyAlignment="1">
      <alignment horizontal="center" vertical="center"/>
    </xf>
    <xf numFmtId="43" fontId="0" fillId="0" borderId="0" xfId="1" applyFont="1" applyFill="1" applyBorder="1" applyAlignment="1"/>
    <xf numFmtId="166" fontId="5" fillId="0" borderId="1" xfId="1" applyNumberFormat="1" applyFont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/>
    <xf numFmtId="43" fontId="0" fillId="0" borderId="0" xfId="0" applyNumberFormat="1" applyFont="1" applyFill="1" applyBorder="1" applyAlignment="1"/>
    <xf numFmtId="0" fontId="7" fillId="0" borderId="1" xfId="0" applyFont="1" applyFill="1" applyBorder="1" applyAlignment="1">
      <alignment horizontal="left" vertical="top" wrapText="1"/>
    </xf>
    <xf numFmtId="166" fontId="5" fillId="0" borderId="1" xfId="1" applyNumberFormat="1" applyFont="1" applyBorder="1" applyAlignment="1">
      <alignment horizontal="center" vertical="center"/>
    </xf>
    <xf numFmtId="167" fontId="9" fillId="0" borderId="1" xfId="1" applyNumberFormat="1" applyFont="1" applyFill="1" applyBorder="1" applyAlignment="1"/>
    <xf numFmtId="43" fontId="4" fillId="4" borderId="1" xfId="1" applyFont="1" applyFill="1" applyBorder="1" applyAlignment="1">
      <alignment horizontal="center" vertical="center"/>
    </xf>
    <xf numFmtId="168" fontId="9" fillId="0" borderId="1" xfId="1" applyNumberFormat="1" applyFont="1" applyFill="1" applyBorder="1" applyAlignment="1"/>
    <xf numFmtId="165" fontId="5" fillId="0" borderId="1" xfId="1" applyNumberFormat="1" applyFont="1" applyBorder="1" applyAlignment="1">
      <alignment horizontal="center" vertical="center" wrapText="1"/>
    </xf>
    <xf numFmtId="165" fontId="9" fillId="0" borderId="1" xfId="1" applyNumberFormat="1" applyFont="1" applyFill="1" applyBorder="1" applyAlignment="1"/>
    <xf numFmtId="168" fontId="5" fillId="0" borderId="1" xfId="1" applyNumberFormat="1" applyFont="1" applyBorder="1" applyAlignment="1">
      <alignment horizontal="center" vertical="center" wrapText="1"/>
    </xf>
    <xf numFmtId="43" fontId="9" fillId="0" borderId="1" xfId="1" applyFont="1" applyFill="1" applyBorder="1" applyAlignment="1"/>
    <xf numFmtId="43" fontId="5" fillId="0" borderId="1" xfId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top" wrapText="1"/>
    </xf>
    <xf numFmtId="43" fontId="9" fillId="0" borderId="1" xfId="1" applyFont="1" applyFill="1" applyBorder="1" applyAlignment="1">
      <alignment horizontal="center" wrapText="1"/>
    </xf>
    <xf numFmtId="43" fontId="5" fillId="4" borderId="1" xfId="1" applyFont="1" applyFill="1" applyBorder="1" applyAlignment="1">
      <alignment horizontal="center" vertical="center" wrapText="1"/>
    </xf>
    <xf numFmtId="166" fontId="5" fillId="4" borderId="1" xfId="1" applyNumberFormat="1" applyFont="1" applyFill="1" applyBorder="1" applyAlignment="1">
      <alignment horizontal="center" vertical="center"/>
    </xf>
    <xf numFmtId="169" fontId="9" fillId="0" borderId="1" xfId="1" applyNumberFormat="1" applyFont="1" applyFill="1" applyBorder="1" applyAlignment="1"/>
    <xf numFmtId="169" fontId="5" fillId="4" borderId="1" xfId="1" applyNumberFormat="1" applyFont="1" applyFill="1" applyBorder="1" applyAlignment="1">
      <alignment horizontal="center" vertical="center"/>
    </xf>
    <xf numFmtId="43" fontId="4" fillId="3" borderId="3" xfId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/>
    <xf numFmtId="43" fontId="0" fillId="0" borderId="1" xfId="1" applyFont="1" applyFill="1" applyBorder="1" applyAlignment="1"/>
    <xf numFmtId="43" fontId="4" fillId="3" borderId="2" xfId="1" applyFont="1" applyFill="1" applyBorder="1" applyAlignment="1">
      <alignment horizontal="center" vertical="center"/>
    </xf>
    <xf numFmtId="43" fontId="5" fillId="4" borderId="1" xfId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wrapText="1"/>
    </xf>
    <xf numFmtId="0" fontId="11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/>
    <xf numFmtId="0" fontId="10" fillId="0" borderId="1" xfId="0" applyFont="1" applyFill="1" applyBorder="1"/>
    <xf numFmtId="165" fontId="5" fillId="4" borderId="1" xfId="1" applyNumberFormat="1" applyFont="1" applyFill="1" applyBorder="1" applyAlignment="1">
      <alignment horizontal="center" vertical="center"/>
    </xf>
    <xf numFmtId="164" fontId="9" fillId="0" borderId="0" xfId="1" applyNumberFormat="1" applyFont="1" applyFill="1" applyBorder="1" applyAlignment="1">
      <alignment horizontal="center" vertical="center"/>
    </xf>
    <xf numFmtId="0" fontId="0" fillId="0" borderId="0" xfId="1" applyNumberFormat="1" applyFont="1" applyFill="1" applyBorder="1" applyAlignment="1"/>
    <xf numFmtId="43" fontId="4" fillId="0" borderId="0" xfId="1" applyFont="1" applyFill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center" vertical="center"/>
    </xf>
    <xf numFmtId="43" fontId="5" fillId="0" borderId="0" xfId="1" applyFont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 wrapText="1"/>
    </xf>
    <xf numFmtId="43" fontId="0" fillId="0" borderId="1" xfId="1" applyFont="1" applyFill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1" fontId="11" fillId="0" borderId="1" xfId="2" applyNumberFormat="1" applyFont="1" applyFill="1" applyBorder="1" applyAlignment="1">
      <alignment horizontal="center" vertical="center" wrapText="1"/>
    </xf>
    <xf numFmtId="2" fontId="11" fillId="0" borderId="1" xfId="2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wrapText="1"/>
    </xf>
    <xf numFmtId="43" fontId="9" fillId="0" borderId="1" xfId="0" applyNumberFormat="1" applyFont="1" applyBorder="1"/>
    <xf numFmtId="43" fontId="9" fillId="4" borderId="1" xfId="1" applyFont="1" applyFill="1" applyBorder="1"/>
    <xf numFmtId="0" fontId="7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wrapText="1"/>
    </xf>
    <xf numFmtId="165" fontId="9" fillId="4" borderId="1" xfId="1" applyNumberFormat="1" applyFont="1" applyFill="1" applyBorder="1"/>
    <xf numFmtId="0" fontId="7" fillId="6" borderId="1" xfId="0" applyFont="1" applyFill="1" applyBorder="1" applyAlignment="1">
      <alignment horizontal="center" vertical="center" wrapText="1"/>
    </xf>
    <xf numFmtId="166" fontId="9" fillId="4" borderId="1" xfId="1" applyNumberFormat="1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/>
    <xf numFmtId="43" fontId="15" fillId="0" borderId="0" xfId="0" applyNumberFormat="1" applyFont="1" applyAlignment="1"/>
    <xf numFmtId="164" fontId="15" fillId="0" borderId="0" xfId="0" applyNumberFormat="1" applyFont="1" applyAlignment="1"/>
    <xf numFmtId="43" fontId="0" fillId="7" borderId="1" xfId="1" applyFont="1" applyFill="1" applyBorder="1" applyAlignment="1">
      <alignment horizontal="center" vertical="center"/>
    </xf>
    <xf numFmtId="164" fontId="0" fillId="0" borderId="0" xfId="1" applyNumberFormat="1" applyFont="1" applyFill="1" applyBorder="1" applyAlignment="1"/>
    <xf numFmtId="164" fontId="9" fillId="0" borderId="1" xfId="1" applyNumberFormat="1" applyFont="1" applyFill="1" applyBorder="1" applyAlignment="1">
      <alignment horizontal="center" vertical="center" wrapText="1"/>
    </xf>
    <xf numFmtId="164" fontId="0" fillId="0" borderId="1" xfId="1" applyNumberFormat="1" applyFont="1" applyFill="1" applyBorder="1" applyAlignment="1"/>
    <xf numFmtId="164" fontId="0" fillId="0" borderId="0" xfId="1" applyNumberFormat="1" applyFont="1"/>
    <xf numFmtId="164" fontId="14" fillId="0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164" fontId="15" fillId="0" borderId="0" xfId="1" applyNumberFormat="1" applyFont="1" applyFill="1" applyBorder="1" applyAlignment="1"/>
    <xf numFmtId="4" fontId="0" fillId="0" borderId="1" xfId="0" applyNumberFormat="1" applyFont="1" applyFill="1" applyBorder="1" applyAlignment="1"/>
    <xf numFmtId="164" fontId="7" fillId="0" borderId="1" xfId="1" applyNumberFormat="1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0" fontId="17" fillId="0" borderId="0" xfId="0" applyNumberFormat="1" applyFont="1" applyFill="1" applyBorder="1" applyAlignment="1"/>
    <xf numFmtId="164" fontId="17" fillId="0" borderId="0" xfId="0" applyNumberFormat="1" applyFont="1" applyFill="1" applyBorder="1" applyAlignment="1">
      <alignment horizontal="center" vertical="center"/>
    </xf>
    <xf numFmtId="164" fontId="17" fillId="0" borderId="0" xfId="1" applyNumberFormat="1" applyFont="1"/>
    <xf numFmtId="1" fontId="16" fillId="0" borderId="1" xfId="2" applyNumberFormat="1" applyFont="1" applyFill="1" applyBorder="1" applyAlignment="1">
      <alignment horizontal="center" vertical="center" wrapText="1"/>
    </xf>
    <xf numFmtId="2" fontId="16" fillId="0" borderId="1" xfId="2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64" fontId="17" fillId="0" borderId="1" xfId="1" applyNumberFormat="1" applyFont="1" applyFill="1" applyBorder="1" applyAlignment="1">
      <alignment horizontal="center" vertical="center" wrapText="1"/>
    </xf>
    <xf numFmtId="164" fontId="18" fillId="0" borderId="1" xfId="1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164" fontId="17" fillId="0" borderId="1" xfId="1" applyNumberFormat="1" applyFont="1" applyFill="1" applyBorder="1" applyAlignment="1">
      <alignment vertical="center" wrapText="1"/>
    </xf>
    <xf numFmtId="164" fontId="18" fillId="0" borderId="1" xfId="1" applyNumberFormat="1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164" fontId="17" fillId="0" borderId="1" xfId="1" applyNumberFormat="1" applyFont="1" applyFill="1" applyBorder="1" applyAlignment="1">
      <alignment vertical="center"/>
    </xf>
    <xf numFmtId="165" fontId="17" fillId="0" borderId="1" xfId="1" applyNumberFormat="1" applyFont="1" applyFill="1" applyBorder="1" applyAlignment="1">
      <alignment vertical="center"/>
    </xf>
    <xf numFmtId="164" fontId="16" fillId="0" borderId="1" xfId="1" applyNumberFormat="1" applyFont="1" applyFill="1" applyBorder="1" applyAlignment="1">
      <alignment vertical="center" wrapText="1"/>
    </xf>
    <xf numFmtId="43" fontId="17" fillId="0" borderId="0" xfId="1" applyFont="1" applyFill="1" applyBorder="1" applyAlignment="1"/>
    <xf numFmtId="43" fontId="17" fillId="0" borderId="1" xfId="1" applyFont="1" applyFill="1" applyBorder="1" applyAlignment="1">
      <alignment horizontal="center" vertical="center" wrapText="1"/>
    </xf>
    <xf numFmtId="43" fontId="17" fillId="0" borderId="1" xfId="1" applyFont="1" applyFill="1" applyBorder="1" applyAlignment="1">
      <alignment vertical="center" wrapText="1"/>
    </xf>
    <xf numFmtId="43" fontId="17" fillId="0" borderId="1" xfId="1" applyFont="1" applyFill="1" applyBorder="1" applyAlignment="1">
      <alignment vertical="center"/>
    </xf>
    <xf numFmtId="164" fontId="17" fillId="0" borderId="1" xfId="0" applyNumberFormat="1" applyFont="1" applyFill="1" applyBorder="1" applyAlignment="1">
      <alignment vertical="center"/>
    </xf>
    <xf numFmtId="164" fontId="17" fillId="0" borderId="0" xfId="1" applyNumberFormat="1" applyFont="1" applyFill="1" applyBorder="1" applyAlignment="1"/>
    <xf numFmtId="164" fontId="19" fillId="0" borderId="0" xfId="1" applyNumberFormat="1" applyFont="1" applyFill="1" applyBorder="1" applyAlignment="1"/>
    <xf numFmtId="164" fontId="5" fillId="0" borderId="1" xfId="1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43" fontId="15" fillId="0" borderId="0" xfId="1" applyFont="1" applyFill="1" applyBorder="1" applyAlignment="1">
      <alignment horizontal="center" vertical="center"/>
    </xf>
    <xf numFmtId="164" fontId="20" fillId="0" borderId="0" xfId="1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43" fontId="21" fillId="4" borderId="1" xfId="1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/>
    </xf>
    <xf numFmtId="164" fontId="17" fillId="0" borderId="1" xfId="1" applyNumberFormat="1" applyFont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43" fontId="17" fillId="4" borderId="1" xfId="1" applyFont="1" applyFill="1" applyBorder="1" applyAlignment="1">
      <alignment horizontal="center" vertical="center"/>
    </xf>
    <xf numFmtId="0" fontId="16" fillId="0" borderId="1" xfId="1" applyNumberFormat="1" applyFont="1" applyFill="1" applyBorder="1" applyAlignment="1">
      <alignment horizontal="center" vertical="center"/>
    </xf>
    <xf numFmtId="164" fontId="16" fillId="0" borderId="1" xfId="1" applyNumberFormat="1" applyFont="1" applyFill="1" applyBorder="1" applyAlignment="1">
      <alignment horizontal="center" vertical="center"/>
    </xf>
    <xf numFmtId="43" fontId="17" fillId="0" borderId="1" xfId="1" applyFont="1" applyBorder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21" fillId="0" borderId="0" xfId="0" applyFont="1" applyAlignment="1"/>
    <xf numFmtId="1" fontId="22" fillId="0" borderId="1" xfId="2" applyNumberFormat="1" applyFont="1" applyFill="1" applyBorder="1" applyAlignment="1">
      <alignment horizontal="center" vertical="center" wrapText="1"/>
    </xf>
    <xf numFmtId="2" fontId="22" fillId="0" borderId="1" xfId="2" applyNumberFormat="1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43" fontId="21" fillId="0" borderId="1" xfId="0" applyNumberFormat="1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wrapText="1"/>
    </xf>
    <xf numFmtId="0" fontId="22" fillId="5" borderId="1" xfId="0" applyFont="1" applyFill="1" applyBorder="1" applyAlignment="1">
      <alignment horizontal="center" vertical="center" wrapText="1"/>
    </xf>
    <xf numFmtId="164" fontId="21" fillId="0" borderId="1" xfId="1" applyNumberFormat="1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wrapText="1"/>
    </xf>
    <xf numFmtId="43" fontId="21" fillId="0" borderId="0" xfId="0" applyNumberFormat="1" applyFont="1" applyAlignment="1"/>
    <xf numFmtId="43" fontId="21" fillId="0" borderId="0" xfId="0" applyNumberFormat="1" applyFont="1"/>
    <xf numFmtId="0" fontId="9" fillId="0" borderId="0" xfId="0" applyFont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43" fontId="21" fillId="0" borderId="4" xfId="0" applyNumberFormat="1" applyFont="1" applyFill="1" applyBorder="1" applyAlignment="1">
      <alignment horizontal="center" vertical="center" wrapText="1"/>
    </xf>
    <xf numFmtId="43" fontId="21" fillId="4" borderId="4" xfId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/>
    <xf numFmtId="43" fontId="21" fillId="0" borderId="1" xfId="0" applyNumberFormat="1" applyFont="1" applyBorder="1" applyAlignment="1"/>
    <xf numFmtId="43" fontId="21" fillId="7" borderId="1" xfId="0" applyNumberFormat="1" applyFont="1" applyFill="1" applyBorder="1"/>
    <xf numFmtId="43" fontId="21" fillId="7" borderId="0" xfId="0" applyNumberFormat="1" applyFont="1" applyFill="1" applyAlignment="1"/>
    <xf numFmtId="0" fontId="21" fillId="0" borderId="1" xfId="0" applyFont="1" applyBorder="1" applyAlignment="1"/>
    <xf numFmtId="0" fontId="21" fillId="0" borderId="1" xfId="0" applyFont="1" applyBorder="1" applyAlignment="1">
      <alignment wrapText="1"/>
    </xf>
    <xf numFmtId="0" fontId="21" fillId="7" borderId="1" xfId="0" applyFont="1" applyFill="1" applyBorder="1" applyAlignment="1"/>
    <xf numFmtId="0" fontId="24" fillId="0" borderId="1" xfId="0" applyFont="1" applyBorder="1" applyAlignment="1">
      <alignment wrapText="1"/>
    </xf>
    <xf numFmtId="164" fontId="24" fillId="0" borderId="1" xfId="0" applyNumberFormat="1" applyFont="1" applyBorder="1" applyAlignment="1"/>
    <xf numFmtId="164" fontId="21" fillId="0" borderId="1" xfId="1" applyNumberFormat="1" applyFont="1" applyBorder="1" applyAlignment="1"/>
    <xf numFmtId="164" fontId="21" fillId="0" borderId="1" xfId="1" applyNumberFormat="1" applyFont="1" applyBorder="1"/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wrapText="1"/>
    </xf>
    <xf numFmtId="164" fontId="3" fillId="0" borderId="1" xfId="1" applyNumberFormat="1" applyFont="1" applyFill="1" applyBorder="1" applyAlignment="1"/>
    <xf numFmtId="164" fontId="3" fillId="0" borderId="1" xfId="1" applyNumberFormat="1" applyFont="1" applyFill="1" applyBorder="1" applyAlignment="1">
      <alignment horizontal="center" vertical="center"/>
    </xf>
    <xf numFmtId="2" fontId="3" fillId="0" borderId="4" xfId="2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center" vertical="center" wrapText="1"/>
    </xf>
    <xf numFmtId="0" fontId="3" fillId="0" borderId="6" xfId="1" applyNumberFormat="1" applyFont="1" applyFill="1" applyBorder="1" applyAlignment="1"/>
    <xf numFmtId="164" fontId="3" fillId="0" borderId="0" xfId="1" applyNumberFormat="1" applyFont="1" applyFill="1" applyBorder="1" applyAlignment="1"/>
    <xf numFmtId="164" fontId="3" fillId="4" borderId="1" xfId="1" applyNumberFormat="1" applyFont="1" applyFill="1" applyBorder="1" applyAlignment="1"/>
    <xf numFmtId="0" fontId="2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170" fontId="0" fillId="0" borderId="1" xfId="1" applyNumberFormat="1" applyFont="1" applyBorder="1"/>
    <xf numFmtId="170" fontId="0" fillId="0" borderId="0" xfId="0" applyNumberFormat="1"/>
    <xf numFmtId="0" fontId="26" fillId="0" borderId="1" xfId="0" applyFont="1" applyBorder="1"/>
    <xf numFmtId="170" fontId="26" fillId="0" borderId="1" xfId="1" applyNumberFormat="1" applyFont="1" applyBorder="1"/>
    <xf numFmtId="0" fontId="26" fillId="0" borderId="0" xfId="0" applyFont="1"/>
    <xf numFmtId="43" fontId="0" fillId="0" borderId="0" xfId="0" applyNumberFormat="1"/>
    <xf numFmtId="0" fontId="27" fillId="0" borderId="1" xfId="3" applyBorder="1"/>
    <xf numFmtId="170" fontId="26" fillId="0" borderId="1" xfId="5" applyNumberFormat="1" applyFont="1" applyBorder="1"/>
    <xf numFmtId="43" fontId="25" fillId="0" borderId="0" xfId="1" applyFont="1" applyFill="1" applyBorder="1" applyAlignment="1"/>
    <xf numFmtId="164" fontId="3" fillId="7" borderId="1" xfId="0" applyNumberFormat="1" applyFont="1" applyFill="1" applyBorder="1" applyAlignment="1">
      <alignment horizontal="center" vertical="center" textRotation="90" wrapText="1"/>
    </xf>
    <xf numFmtId="164" fontId="9" fillId="7" borderId="1" xfId="1" applyNumberFormat="1" applyFont="1" applyFill="1" applyBorder="1" applyAlignment="1">
      <alignment horizontal="center" vertical="center"/>
    </xf>
    <xf numFmtId="164" fontId="9" fillId="7" borderId="0" xfId="1" applyNumberFormat="1" applyFont="1" applyFill="1" applyBorder="1" applyAlignment="1">
      <alignment horizontal="center" vertical="center"/>
    </xf>
    <xf numFmtId="164" fontId="0" fillId="7" borderId="0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top" wrapText="1"/>
    </xf>
    <xf numFmtId="165" fontId="9" fillId="3" borderId="1" xfId="1" applyNumberFormat="1" applyFont="1" applyFill="1" applyBorder="1" applyAlignment="1"/>
    <xf numFmtId="164" fontId="9" fillId="3" borderId="1" xfId="1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/>
    <xf numFmtId="43" fontId="9" fillId="3" borderId="1" xfId="1" applyFont="1" applyFill="1" applyBorder="1" applyAlignment="1">
      <alignment horizontal="center" wrapText="1"/>
    </xf>
    <xf numFmtId="43" fontId="5" fillId="3" borderId="1" xfId="1" applyFont="1" applyFill="1" applyBorder="1" applyAlignment="1">
      <alignment horizontal="center" vertical="center" wrapText="1"/>
    </xf>
    <xf numFmtId="43" fontId="0" fillId="3" borderId="1" xfId="1" applyFont="1" applyFill="1" applyBorder="1" applyAlignment="1"/>
    <xf numFmtId="165" fontId="5" fillId="3" borderId="1" xfId="1" applyNumberFormat="1" applyFont="1" applyFill="1" applyBorder="1" applyAlignment="1">
      <alignment horizontal="center" vertical="center"/>
    </xf>
    <xf numFmtId="43" fontId="0" fillId="3" borderId="1" xfId="1" applyFont="1" applyFill="1" applyBorder="1" applyAlignment="1">
      <alignment horizontal="center" vertical="center"/>
    </xf>
    <xf numFmtId="43" fontId="0" fillId="3" borderId="0" xfId="1" applyFont="1" applyFill="1" applyBorder="1" applyAlignment="1">
      <alignment horizontal="center" vertical="center"/>
    </xf>
    <xf numFmtId="0" fontId="0" fillId="3" borderId="0" xfId="0" applyNumberFormat="1" applyFont="1" applyFill="1" applyBorder="1" applyAlignment="1"/>
    <xf numFmtId="1" fontId="0" fillId="3" borderId="0" xfId="0" applyNumberFormat="1" applyFont="1" applyFill="1" applyBorder="1" applyAlignment="1">
      <alignment horizontal="center" vertical="center"/>
    </xf>
    <xf numFmtId="1" fontId="0" fillId="3" borderId="0" xfId="0" applyNumberFormat="1" applyFont="1" applyFill="1" applyBorder="1" applyAlignment="1"/>
    <xf numFmtId="43" fontId="9" fillId="3" borderId="1" xfId="1" applyFont="1" applyFill="1" applyBorder="1" applyAlignment="1"/>
    <xf numFmtId="166" fontId="5" fillId="3" borderId="1" xfId="1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wrapText="1"/>
    </xf>
    <xf numFmtId="0" fontId="11" fillId="3" borderId="1" xfId="0" applyNumberFormat="1" applyFont="1" applyFill="1" applyBorder="1" applyAlignment="1">
      <alignment wrapText="1"/>
    </xf>
    <xf numFmtId="0" fontId="3" fillId="3" borderId="1" xfId="0" applyNumberFormat="1" applyFont="1" applyFill="1" applyBorder="1" applyAlignment="1"/>
    <xf numFmtId="43" fontId="5" fillId="3" borderId="1" xfId="1" applyFont="1" applyFill="1" applyBorder="1" applyAlignment="1">
      <alignment horizontal="center" vertical="center"/>
    </xf>
    <xf numFmtId="0" fontId="10" fillId="3" borderId="1" xfId="0" applyFont="1" applyFill="1" applyBorder="1"/>
    <xf numFmtId="0" fontId="28" fillId="8" borderId="1" xfId="0" applyNumberFormat="1" applyFont="1" applyFill="1" applyBorder="1" applyAlignment="1">
      <alignment horizontal="center" vertical="center" textRotation="90" wrapText="1"/>
    </xf>
    <xf numFmtId="43" fontId="28" fillId="8" borderId="1" xfId="1" applyFont="1" applyFill="1" applyBorder="1" applyAlignment="1"/>
    <xf numFmtId="0" fontId="28" fillId="8" borderId="1" xfId="1" applyNumberFormat="1" applyFont="1" applyFill="1" applyBorder="1" applyAlignment="1"/>
    <xf numFmtId="0" fontId="26" fillId="8" borderId="0" xfId="0" applyNumberFormat="1" applyFont="1" applyFill="1" applyBorder="1" applyAlignment="1"/>
    <xf numFmtId="0" fontId="21" fillId="0" borderId="0" xfId="0" applyFont="1" applyAlignment="1">
      <alignment horizontal="center" vertical="center" wrapText="1"/>
    </xf>
    <xf numFmtId="164" fontId="21" fillId="0" borderId="0" xfId="1" applyNumberFormat="1" applyFont="1"/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center"/>
    </xf>
    <xf numFmtId="170" fontId="0" fillId="0" borderId="1" xfId="0" applyNumberFormat="1" applyBorder="1" applyAlignment="1">
      <alignment horizontal="center" vertical="center" wrapText="1"/>
    </xf>
    <xf numFmtId="170" fontId="0" fillId="0" borderId="1" xfId="0" applyNumberFormat="1" applyBorder="1"/>
    <xf numFmtId="0" fontId="26" fillId="0" borderId="7" xfId="0" applyFont="1" applyBorder="1" applyAlignment="1">
      <alignment horizontal="center" vertical="center"/>
    </xf>
    <xf numFmtId="43" fontId="26" fillId="0" borderId="0" xfId="0" applyNumberFormat="1" applyFont="1"/>
    <xf numFmtId="43" fontId="0" fillId="0" borderId="1" xfId="0" applyNumberFormat="1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6">
    <cellStyle name="Comma" xfId="1" builtinId="3"/>
    <cellStyle name="Comma 2" xfId="5"/>
    <cellStyle name="Normal" xfId="0" builtinId="0"/>
    <cellStyle name="Normal 2" xfId="2"/>
    <cellStyle name="Normal 2 2" xfId="4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[1]ბენეფიციარი!$D$3</c:f>
              <c:strCache>
                <c:ptCount val="1"/>
                <c:pt idx="0">
                  <c:v>ახალი დარეგისტრირებული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multiLvlStrRef>
              <c:f>[1]ბენეფიციარი!$B$4:$C$23</c:f>
              <c:multiLvlStrCache>
                <c:ptCount val="20"/>
                <c:lvl>
                  <c:pt idx="0">
                    <c:v>ოქტომბერი</c:v>
                  </c:pt>
                  <c:pt idx="1">
                    <c:v>ნოემბერი</c:v>
                  </c:pt>
                  <c:pt idx="2">
                    <c:v>დეკემბერი</c:v>
                  </c:pt>
                  <c:pt idx="3">
                    <c:v>იანვარი</c:v>
                  </c:pt>
                  <c:pt idx="4">
                    <c:v>თებერვალი</c:v>
                  </c:pt>
                  <c:pt idx="5">
                    <c:v>მარტი</c:v>
                  </c:pt>
                  <c:pt idx="6">
                    <c:v>აპრილი</c:v>
                  </c:pt>
                  <c:pt idx="7">
                    <c:v>მაისი</c:v>
                  </c:pt>
                  <c:pt idx="8">
                    <c:v>ივნისი</c:v>
                  </c:pt>
                  <c:pt idx="9">
                    <c:v>ივლისი</c:v>
                  </c:pt>
                  <c:pt idx="10">
                    <c:v>აგვისტო</c:v>
                  </c:pt>
                  <c:pt idx="11">
                    <c:v>სექტემბერი</c:v>
                  </c:pt>
                  <c:pt idx="12">
                    <c:v>ოქტომბერი</c:v>
                  </c:pt>
                  <c:pt idx="13">
                    <c:v>ნოემბერი</c:v>
                  </c:pt>
                  <c:pt idx="14">
                    <c:v>დეკემბერი</c:v>
                  </c:pt>
                  <c:pt idx="15">
                    <c:v>იანვარი</c:v>
                  </c:pt>
                  <c:pt idx="16">
                    <c:v>თებერვალი</c:v>
                  </c:pt>
                  <c:pt idx="17">
                    <c:v>მარტი</c:v>
                  </c:pt>
                  <c:pt idx="18">
                    <c:v>აპრილი</c:v>
                  </c:pt>
                  <c:pt idx="19">
                    <c:v>მაისი</c:v>
                  </c:pt>
                </c:lvl>
                <c:lvl>
                  <c:pt idx="0">
                    <c:v>2017</c:v>
                  </c:pt>
                  <c:pt idx="3">
                    <c:v>2018</c:v>
                  </c:pt>
                  <c:pt idx="15">
                    <c:v>2019</c:v>
                  </c:pt>
                </c:lvl>
              </c:multiLvlStrCache>
            </c:multiLvlStrRef>
          </c:cat>
          <c:val>
            <c:numRef>
              <c:f>[1]ბენეფიციარი!$D$4:$D$23</c:f>
              <c:numCache>
                <c:formatCode>General</c:formatCode>
                <c:ptCount val="20"/>
                <c:pt idx="0">
                  <c:v>1179</c:v>
                </c:pt>
                <c:pt idx="1">
                  <c:v>1065</c:v>
                </c:pt>
                <c:pt idx="2">
                  <c:v>860</c:v>
                </c:pt>
                <c:pt idx="3">
                  <c:v>677</c:v>
                </c:pt>
                <c:pt idx="4">
                  <c:v>963</c:v>
                </c:pt>
                <c:pt idx="5">
                  <c:v>978</c:v>
                </c:pt>
                <c:pt idx="6">
                  <c:v>695</c:v>
                </c:pt>
                <c:pt idx="7">
                  <c:v>764</c:v>
                </c:pt>
                <c:pt idx="8">
                  <c:v>580</c:v>
                </c:pt>
                <c:pt idx="9">
                  <c:v>506</c:v>
                </c:pt>
                <c:pt idx="10">
                  <c:v>441</c:v>
                </c:pt>
                <c:pt idx="11">
                  <c:v>4563</c:v>
                </c:pt>
                <c:pt idx="12">
                  <c:v>5552</c:v>
                </c:pt>
                <c:pt idx="13">
                  <c:v>3736</c:v>
                </c:pt>
                <c:pt idx="14">
                  <c:v>2852</c:v>
                </c:pt>
                <c:pt idx="15">
                  <c:v>4027</c:v>
                </c:pt>
                <c:pt idx="16">
                  <c:v>4511</c:v>
                </c:pt>
                <c:pt idx="17">
                  <c:v>4250</c:v>
                </c:pt>
                <c:pt idx="18">
                  <c:v>3159</c:v>
                </c:pt>
                <c:pt idx="19">
                  <c:v>3985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41-4D41-9228-ACE293F9EF42}"/>
            </c:ext>
          </c:extLst>
        </c:ser>
        <c:ser>
          <c:idx val="1"/>
          <c:order val="1"/>
          <c:tx>
            <c:strRef>
              <c:f>[1]ბენეფიციარი!$E$3</c:f>
              <c:strCache>
                <c:ptCount val="1"/>
                <c:pt idx="0">
                  <c:v>აფთიაქში მისული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multiLvlStrRef>
              <c:f>[1]ბენეფიციარი!$B$4:$C$23</c:f>
              <c:multiLvlStrCache>
                <c:ptCount val="20"/>
                <c:lvl>
                  <c:pt idx="0">
                    <c:v>ოქტომბერი</c:v>
                  </c:pt>
                  <c:pt idx="1">
                    <c:v>ნოემბერი</c:v>
                  </c:pt>
                  <c:pt idx="2">
                    <c:v>დეკემბერი</c:v>
                  </c:pt>
                  <c:pt idx="3">
                    <c:v>იანვარი</c:v>
                  </c:pt>
                  <c:pt idx="4">
                    <c:v>თებერვალი</c:v>
                  </c:pt>
                  <c:pt idx="5">
                    <c:v>მარტი</c:v>
                  </c:pt>
                  <c:pt idx="6">
                    <c:v>აპრილი</c:v>
                  </c:pt>
                  <c:pt idx="7">
                    <c:v>მაისი</c:v>
                  </c:pt>
                  <c:pt idx="8">
                    <c:v>ივნისი</c:v>
                  </c:pt>
                  <c:pt idx="9">
                    <c:v>ივლისი</c:v>
                  </c:pt>
                  <c:pt idx="10">
                    <c:v>აგვისტო</c:v>
                  </c:pt>
                  <c:pt idx="11">
                    <c:v>სექტემბერი</c:v>
                  </c:pt>
                  <c:pt idx="12">
                    <c:v>ოქტომბერი</c:v>
                  </c:pt>
                  <c:pt idx="13">
                    <c:v>ნოემბერი</c:v>
                  </c:pt>
                  <c:pt idx="14">
                    <c:v>დეკემბერი</c:v>
                  </c:pt>
                  <c:pt idx="15">
                    <c:v>იანვარი</c:v>
                  </c:pt>
                  <c:pt idx="16">
                    <c:v>თებერვალი</c:v>
                  </c:pt>
                  <c:pt idx="17">
                    <c:v>მარტი</c:v>
                  </c:pt>
                  <c:pt idx="18">
                    <c:v>აპრილი</c:v>
                  </c:pt>
                  <c:pt idx="19">
                    <c:v>მაისი</c:v>
                  </c:pt>
                </c:lvl>
                <c:lvl>
                  <c:pt idx="0">
                    <c:v>2017</c:v>
                  </c:pt>
                  <c:pt idx="3">
                    <c:v>2018</c:v>
                  </c:pt>
                  <c:pt idx="15">
                    <c:v>2019</c:v>
                  </c:pt>
                </c:lvl>
              </c:multiLvlStrCache>
            </c:multiLvlStrRef>
          </c:cat>
          <c:val>
            <c:numRef>
              <c:f>[1]ბენეფიციარი!$E$4:$E$23</c:f>
              <c:numCache>
                <c:formatCode>General</c:formatCode>
                <c:ptCount val="20"/>
                <c:pt idx="0">
                  <c:v>3773</c:v>
                </c:pt>
                <c:pt idx="1">
                  <c:v>3347</c:v>
                </c:pt>
                <c:pt idx="2">
                  <c:v>2566</c:v>
                </c:pt>
                <c:pt idx="3">
                  <c:v>3356</c:v>
                </c:pt>
                <c:pt idx="4">
                  <c:v>3514</c:v>
                </c:pt>
                <c:pt idx="5">
                  <c:v>3670</c:v>
                </c:pt>
                <c:pt idx="6">
                  <c:v>3387</c:v>
                </c:pt>
                <c:pt idx="7">
                  <c:v>4581</c:v>
                </c:pt>
                <c:pt idx="8">
                  <c:v>3381</c:v>
                </c:pt>
                <c:pt idx="9">
                  <c:v>3731</c:v>
                </c:pt>
                <c:pt idx="10">
                  <c:v>3893</c:v>
                </c:pt>
                <c:pt idx="11">
                  <c:v>6773</c:v>
                </c:pt>
                <c:pt idx="12">
                  <c:v>9168</c:v>
                </c:pt>
                <c:pt idx="13">
                  <c:v>8988</c:v>
                </c:pt>
                <c:pt idx="14">
                  <c:v>9281</c:v>
                </c:pt>
                <c:pt idx="15">
                  <c:v>12222</c:v>
                </c:pt>
                <c:pt idx="16">
                  <c:v>12564</c:v>
                </c:pt>
                <c:pt idx="17">
                  <c:v>12873</c:v>
                </c:pt>
                <c:pt idx="18">
                  <c:v>12050</c:v>
                </c:pt>
                <c:pt idx="19">
                  <c:v>15061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41-4D41-9228-ACE293F9E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520336223"/>
        <c:axId val="1520346207"/>
        <c:axId val="0"/>
      </c:bar3DChart>
      <c:catAx>
        <c:axId val="1520336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346207"/>
        <c:crosses val="autoZero"/>
        <c:auto val="1"/>
        <c:lblAlgn val="ctr"/>
        <c:lblOffset val="100"/>
        <c:noMultiLvlLbl val="0"/>
      </c:catAx>
      <c:valAx>
        <c:axId val="1520346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33622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1</xdr:row>
      <xdr:rowOff>142875</xdr:rowOff>
    </xdr:from>
    <xdr:to>
      <xdr:col>22</xdr:col>
      <xdr:colOff>495300</xdr:colOff>
      <xdr:row>26</xdr:row>
      <xdr:rowOff>57150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4325;&#4320;&#4317;&#4316;&#4312;&#4313;&#4323;&#4314;&#4312;%20&#4315;&#4308;&#4307;&#4312;&#4313;&#4304;&#4315;&#4308;&#4316;&#4322;&#4308;&#4305;&#4312;-&#4304;&#4304;&#4312;&#4318;%20-&#4321;&#4312;&#4304;&#4334;&#4314;&#4308;&#4308;&#4305;&#4312;/&#4333;&#4312;&#4304;&#4305;&#4308;&#4320;&#4304;&#4328;&#4309;&#4312;&#4314;&#4312;&#4321;%20&#4304;&#4316;&#4304;&#4314;&#4312;&#4310;&#4312;/&#4325;&#4320;&#4317;&#4316;&#4312;&#4313;&#4323;&#4314;&#4312;-&#4304;&#4316;&#4304;&#4314;&#4312;&#4310;&#4312;%20(Autosav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ბენეფიციარი"/>
      <sheetName val="Sheet15"/>
      <sheetName val="მედიკამენტები"/>
      <sheetName val="საპენსიო"/>
      <sheetName val="შშმპ"/>
      <sheetName val="გულ-სისხლძარღვთა-1"/>
      <sheetName val="გულ-სისხლძარღვთა-2"/>
      <sheetName val="დიაბეტი"/>
      <sheetName val="ფარისებრი"/>
      <sheetName val="ფილტვი"/>
      <sheetName val="პარკინსონი"/>
      <sheetName val="ეპილეფსია"/>
      <sheetName val="Sheet7"/>
      <sheetName val="ვადაგასული მედიკამენტები"/>
    </sheetNames>
    <sheetDataSet>
      <sheetData sheetId="0" refreshError="1">
        <row r="3">
          <cell r="D3" t="str">
            <v>ახალი დარეგისტრირებული</v>
          </cell>
          <cell r="E3" t="str">
            <v>აფთიაქში მისული</v>
          </cell>
        </row>
        <row r="4">
          <cell r="B4">
            <v>2017</v>
          </cell>
          <cell r="C4" t="str">
            <v>ოქტომბერი</v>
          </cell>
          <cell r="D4">
            <v>1179</v>
          </cell>
          <cell r="E4">
            <v>3773</v>
          </cell>
        </row>
        <row r="5">
          <cell r="C5" t="str">
            <v>ნოემბერი</v>
          </cell>
          <cell r="D5">
            <v>1065</v>
          </cell>
          <cell r="E5">
            <v>3347</v>
          </cell>
        </row>
        <row r="6">
          <cell r="C6" t="str">
            <v>დეკემბერი</v>
          </cell>
          <cell r="D6">
            <v>860</v>
          </cell>
          <cell r="E6">
            <v>2566</v>
          </cell>
        </row>
        <row r="7">
          <cell r="B7">
            <v>2018</v>
          </cell>
          <cell r="C7" t="str">
            <v>იანვარი</v>
          </cell>
          <cell r="D7">
            <v>677</v>
          </cell>
          <cell r="E7">
            <v>3356</v>
          </cell>
        </row>
        <row r="8">
          <cell r="C8" t="str">
            <v>თებერვალი</v>
          </cell>
          <cell r="D8">
            <v>963</v>
          </cell>
          <cell r="E8">
            <v>3514</v>
          </cell>
        </row>
        <row r="9">
          <cell r="C9" t="str">
            <v>მარტი</v>
          </cell>
          <cell r="D9">
            <v>978</v>
          </cell>
          <cell r="E9">
            <v>3670</v>
          </cell>
        </row>
        <row r="10">
          <cell r="C10" t="str">
            <v>აპრილი</v>
          </cell>
          <cell r="D10">
            <v>695</v>
          </cell>
          <cell r="E10">
            <v>3387</v>
          </cell>
        </row>
        <row r="11">
          <cell r="C11" t="str">
            <v>მაისი</v>
          </cell>
          <cell r="D11">
            <v>764</v>
          </cell>
          <cell r="E11">
            <v>4581</v>
          </cell>
        </row>
        <row r="12">
          <cell r="C12" t="str">
            <v>ივნისი</v>
          </cell>
          <cell r="D12">
            <v>580</v>
          </cell>
          <cell r="E12">
            <v>3381</v>
          </cell>
        </row>
        <row r="13">
          <cell r="C13" t="str">
            <v>ივლისი</v>
          </cell>
          <cell r="D13">
            <v>506</v>
          </cell>
          <cell r="E13">
            <v>3731</v>
          </cell>
        </row>
        <row r="14">
          <cell r="C14" t="str">
            <v>აგვისტო</v>
          </cell>
          <cell r="D14">
            <v>441</v>
          </cell>
          <cell r="E14">
            <v>3893</v>
          </cell>
        </row>
        <row r="15">
          <cell r="C15" t="str">
            <v>სექტემბერი</v>
          </cell>
          <cell r="D15">
            <v>4563</v>
          </cell>
          <cell r="E15">
            <v>6773</v>
          </cell>
        </row>
        <row r="16">
          <cell r="C16" t="str">
            <v>ოქტომბერი</v>
          </cell>
          <cell r="D16">
            <v>5552</v>
          </cell>
          <cell r="E16">
            <v>9168</v>
          </cell>
        </row>
        <row r="17">
          <cell r="C17" t="str">
            <v>ნოემბერი</v>
          </cell>
          <cell r="D17">
            <v>3736</v>
          </cell>
          <cell r="E17">
            <v>8988</v>
          </cell>
        </row>
        <row r="18">
          <cell r="C18" t="str">
            <v>დეკემბერი</v>
          </cell>
          <cell r="D18">
            <v>2852</v>
          </cell>
          <cell r="E18">
            <v>9281</v>
          </cell>
        </row>
        <row r="19">
          <cell r="B19">
            <v>2019</v>
          </cell>
          <cell r="C19" t="str">
            <v>იანვარი</v>
          </cell>
          <cell r="D19">
            <v>4027</v>
          </cell>
          <cell r="E19">
            <v>12222</v>
          </cell>
        </row>
        <row r="20">
          <cell r="C20" t="str">
            <v>თებერვალი</v>
          </cell>
          <cell r="D20">
            <v>4511</v>
          </cell>
          <cell r="E20">
            <v>12564</v>
          </cell>
        </row>
        <row r="21">
          <cell r="C21" t="str">
            <v>მარტი</v>
          </cell>
          <cell r="D21">
            <v>4250</v>
          </cell>
          <cell r="E21">
            <v>12873</v>
          </cell>
        </row>
        <row r="22">
          <cell r="C22" t="str">
            <v>აპრილი</v>
          </cell>
          <cell r="D22">
            <v>3159</v>
          </cell>
          <cell r="E22">
            <v>12050</v>
          </cell>
        </row>
        <row r="23">
          <cell r="C23" t="str">
            <v>მაისი</v>
          </cell>
          <cell r="D23">
            <v>3985</v>
          </cell>
          <cell r="E23">
            <v>15061</v>
          </cell>
        </row>
      </sheetData>
      <sheetData sheetId="1" refreshError="1"/>
      <sheetData sheetId="2" refreshError="1"/>
      <sheetData sheetId="3" refreshError="1">
        <row r="2">
          <cell r="D2">
            <v>92.063670411985015</v>
          </cell>
        </row>
        <row r="3">
          <cell r="D3">
            <v>87.473209249858996</v>
          </cell>
        </row>
        <row r="4">
          <cell r="D4">
            <v>66.601855287569578</v>
          </cell>
        </row>
        <row r="6">
          <cell r="D6">
            <v>57.986040609137056</v>
          </cell>
        </row>
        <row r="7">
          <cell r="D7">
            <v>84.567441860465109</v>
          </cell>
        </row>
        <row r="8">
          <cell r="D8">
            <v>117.69565217391305</v>
          </cell>
        </row>
        <row r="9">
          <cell r="D9">
            <v>70.788461538461533</v>
          </cell>
        </row>
        <row r="10">
          <cell r="D10">
            <v>93.378066378066379</v>
          </cell>
        </row>
        <row r="11">
          <cell r="D11">
            <v>97.300604229607245</v>
          </cell>
        </row>
        <row r="12">
          <cell r="D12">
            <v>70.693345742205679</v>
          </cell>
        </row>
        <row r="13">
          <cell r="D13">
            <v>37.95945945945946</v>
          </cell>
        </row>
        <row r="14">
          <cell r="D14">
            <v>77.405156537753228</v>
          </cell>
        </row>
        <row r="15">
          <cell r="D15">
            <v>77.575757575757578</v>
          </cell>
        </row>
        <row r="16">
          <cell r="D16">
            <v>39.715504978662871</v>
          </cell>
        </row>
        <row r="17">
          <cell r="D17">
            <v>110.81858766233766</v>
          </cell>
        </row>
        <row r="18">
          <cell r="D18">
            <v>143.02982162764772</v>
          </cell>
        </row>
        <row r="19">
          <cell r="D19">
            <v>119.85441176470589</v>
          </cell>
        </row>
        <row r="20">
          <cell r="D20">
            <v>83.653382275825905</v>
          </cell>
        </row>
        <row r="21">
          <cell r="D21">
            <v>30</v>
          </cell>
        </row>
        <row r="22">
          <cell r="D22">
            <v>1.9014925373134328</v>
          </cell>
        </row>
        <row r="23">
          <cell r="D23">
            <v>1.9255583126550868</v>
          </cell>
        </row>
        <row r="24">
          <cell r="D24">
            <v>14.980392156862745</v>
          </cell>
        </row>
        <row r="25">
          <cell r="D25">
            <v>14.3</v>
          </cell>
        </row>
        <row r="26">
          <cell r="D26">
            <v>2.034782608695652</v>
          </cell>
        </row>
        <row r="27">
          <cell r="D27">
            <v>189.44615384615383</v>
          </cell>
        </row>
        <row r="28">
          <cell r="D28">
            <v>118.71681415929204</v>
          </cell>
        </row>
        <row r="29">
          <cell r="D29">
            <v>61</v>
          </cell>
        </row>
        <row r="30">
          <cell r="D30">
            <v>59.736842105263158</v>
          </cell>
        </row>
        <row r="31">
          <cell r="D31">
            <v>72.359649122807014</v>
          </cell>
        </row>
        <row r="32">
          <cell r="D32">
            <v>30</v>
          </cell>
        </row>
        <row r="33">
          <cell r="D33">
            <v>170.2</v>
          </cell>
        </row>
        <row r="34">
          <cell r="D34">
            <v>128.21739130434781</v>
          </cell>
        </row>
        <row r="35">
          <cell r="D35">
            <v>54.692307692307693</v>
          </cell>
        </row>
        <row r="36">
          <cell r="D36">
            <v>275</v>
          </cell>
        </row>
      </sheetData>
      <sheetData sheetId="4" refreshError="1">
        <row r="2">
          <cell r="D2">
            <v>78.595238095238102</v>
          </cell>
        </row>
        <row r="3">
          <cell r="D3">
            <v>96.1875</v>
          </cell>
        </row>
        <row r="4">
          <cell r="D4">
            <v>62</v>
          </cell>
        </row>
        <row r="5">
          <cell r="D5">
            <v>87.5</v>
          </cell>
        </row>
        <row r="6">
          <cell r="D6">
            <v>99.151515151515156</v>
          </cell>
        </row>
        <row r="7">
          <cell r="D7">
            <v>74.837837837837839</v>
          </cell>
        </row>
        <row r="8">
          <cell r="D8">
            <v>32.18181818181818</v>
          </cell>
        </row>
        <row r="9">
          <cell r="D9">
            <v>58.153153153153156</v>
          </cell>
        </row>
        <row r="11">
          <cell r="D11">
            <v>127.57627118644068</v>
          </cell>
        </row>
        <row r="12">
          <cell r="D12">
            <v>103.70238095238095</v>
          </cell>
        </row>
        <row r="13">
          <cell r="D13">
            <v>39.30952380952381</v>
          </cell>
        </row>
        <row r="14">
          <cell r="D14">
            <v>82.042857142857144</v>
          </cell>
        </row>
        <row r="15">
          <cell r="D15">
            <v>115.875</v>
          </cell>
        </row>
        <row r="16">
          <cell r="D16">
            <v>117.43010752688173</v>
          </cell>
        </row>
        <row r="17">
          <cell r="D17">
            <v>80.355555555555554</v>
          </cell>
        </row>
        <row r="18">
          <cell r="D18">
            <v>115.16901408450704</v>
          </cell>
        </row>
        <row r="19">
          <cell r="D19">
            <v>146.33939393939394</v>
          </cell>
        </row>
        <row r="20">
          <cell r="D20">
            <v>85.0625</v>
          </cell>
        </row>
        <row r="21">
          <cell r="D21">
            <v>13.5</v>
          </cell>
        </row>
        <row r="22">
          <cell r="D22">
            <v>1.7933884297520661</v>
          </cell>
        </row>
        <row r="23">
          <cell r="D23">
            <v>2.0744680851063828</v>
          </cell>
        </row>
        <row r="24">
          <cell r="D24">
            <v>2.1153846153846154</v>
          </cell>
        </row>
        <row r="25">
          <cell r="D25">
            <v>9.5</v>
          </cell>
        </row>
        <row r="26">
          <cell r="D26">
            <v>71</v>
          </cell>
        </row>
        <row r="27">
          <cell r="D27">
            <v>133.17948717948718</v>
          </cell>
        </row>
        <row r="28">
          <cell r="D28">
            <v>30</v>
          </cell>
        </row>
        <row r="29">
          <cell r="D29">
            <v>92</v>
          </cell>
        </row>
        <row r="30">
          <cell r="D30">
            <v>90</v>
          </cell>
        </row>
        <row r="31">
          <cell r="D31">
            <v>65.428571428571431</v>
          </cell>
        </row>
        <row r="32">
          <cell r="D32">
            <v>135</v>
          </cell>
        </row>
        <row r="33">
          <cell r="D33">
            <v>214</v>
          </cell>
        </row>
        <row r="34">
          <cell r="D34">
            <v>100</v>
          </cell>
        </row>
        <row r="35">
          <cell r="D35">
            <v>110</v>
          </cell>
        </row>
        <row r="36">
          <cell r="D36">
            <v>38</v>
          </cell>
        </row>
        <row r="37">
          <cell r="D37">
            <v>368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2"/>
  <sheetViews>
    <sheetView workbookViewId="0">
      <selection activeCell="D24" sqref="D24"/>
    </sheetView>
  </sheetViews>
  <sheetFormatPr defaultRowHeight="15"/>
  <cols>
    <col min="3" max="3" width="16.28515625" customWidth="1"/>
    <col min="4" max="4" width="12" customWidth="1"/>
    <col min="6" max="6" width="13.28515625" customWidth="1"/>
    <col min="7" max="7" width="13.5703125" customWidth="1"/>
    <col min="8" max="8" width="12.7109375" customWidth="1"/>
    <col min="9" max="9" width="11.140625" customWidth="1"/>
    <col min="10" max="10" width="7.140625" customWidth="1"/>
  </cols>
  <sheetData>
    <row r="3" spans="2:10" ht="33.75">
      <c r="D3" s="146" t="s">
        <v>184</v>
      </c>
      <c r="E3" s="146" t="s">
        <v>185</v>
      </c>
    </row>
    <row r="4" spans="2:10">
      <c r="B4" s="217">
        <v>2017</v>
      </c>
      <c r="C4" t="s">
        <v>186</v>
      </c>
      <c r="D4" s="146">
        <v>1179</v>
      </c>
      <c r="E4" s="146">
        <v>3773</v>
      </c>
    </row>
    <row r="5" spans="2:10">
      <c r="B5" s="217"/>
      <c r="C5" t="s">
        <v>187</v>
      </c>
      <c r="D5" s="146">
        <v>1065</v>
      </c>
      <c r="E5" s="146">
        <v>3347</v>
      </c>
    </row>
    <row r="6" spans="2:10">
      <c r="B6" s="217"/>
      <c r="C6" t="s">
        <v>188</v>
      </c>
      <c r="D6" s="146">
        <v>860</v>
      </c>
      <c r="E6" s="146">
        <v>2566</v>
      </c>
    </row>
    <row r="7" spans="2:10">
      <c r="B7" s="217">
        <v>2018</v>
      </c>
      <c r="C7" t="s">
        <v>189</v>
      </c>
      <c r="D7" s="146">
        <v>677</v>
      </c>
      <c r="E7" s="146">
        <v>3356</v>
      </c>
    </row>
    <row r="8" spans="2:10">
      <c r="B8" s="217"/>
      <c r="C8" t="s">
        <v>190</v>
      </c>
      <c r="D8" s="146">
        <v>963</v>
      </c>
      <c r="E8" s="146">
        <v>3514</v>
      </c>
    </row>
    <row r="9" spans="2:10">
      <c r="B9" s="217"/>
      <c r="C9" t="s">
        <v>191</v>
      </c>
      <c r="D9" s="146">
        <v>978</v>
      </c>
      <c r="E9" s="146">
        <v>3670</v>
      </c>
    </row>
    <row r="10" spans="2:10">
      <c r="B10" s="217"/>
      <c r="C10" t="s">
        <v>192</v>
      </c>
      <c r="D10" s="146">
        <v>695</v>
      </c>
      <c r="E10" s="146">
        <v>3387</v>
      </c>
    </row>
    <row r="11" spans="2:10">
      <c r="B11" s="217"/>
      <c r="C11" t="s">
        <v>193</v>
      </c>
      <c r="D11" s="146">
        <v>764</v>
      </c>
      <c r="E11" s="146">
        <v>4581</v>
      </c>
    </row>
    <row r="12" spans="2:10">
      <c r="B12" s="217"/>
      <c r="C12" t="s">
        <v>194</v>
      </c>
      <c r="D12" s="146">
        <v>580</v>
      </c>
      <c r="E12" s="146">
        <v>3381</v>
      </c>
    </row>
    <row r="13" spans="2:10">
      <c r="B13" s="217"/>
      <c r="C13" t="s">
        <v>195</v>
      </c>
      <c r="D13" s="146">
        <v>506</v>
      </c>
      <c r="E13" s="146">
        <v>3731</v>
      </c>
    </row>
    <row r="14" spans="2:10">
      <c r="B14" s="217"/>
      <c r="C14" t="s">
        <v>196</v>
      </c>
      <c r="D14" s="146">
        <v>441</v>
      </c>
      <c r="E14" s="146">
        <v>3893</v>
      </c>
      <c r="H14" t="s">
        <v>197</v>
      </c>
      <c r="I14" t="s">
        <v>198</v>
      </c>
      <c r="J14" t="s">
        <v>199</v>
      </c>
    </row>
    <row r="15" spans="2:10">
      <c r="B15" s="217"/>
      <c r="C15" t="s">
        <v>200</v>
      </c>
      <c r="D15" s="146">
        <v>4563</v>
      </c>
      <c r="E15" s="146">
        <v>6773</v>
      </c>
    </row>
    <row r="16" spans="2:10">
      <c r="B16" s="217"/>
      <c r="C16" t="s">
        <v>186</v>
      </c>
      <c r="D16" s="146">
        <v>5552</v>
      </c>
      <c r="E16" s="146">
        <v>9168</v>
      </c>
      <c r="H16">
        <v>559393</v>
      </c>
      <c r="I16">
        <v>842773</v>
      </c>
      <c r="J16">
        <v>112348</v>
      </c>
    </row>
    <row r="17" spans="2:10">
      <c r="B17" s="217"/>
      <c r="C17" t="s">
        <v>187</v>
      </c>
      <c r="D17" s="146">
        <v>3736</v>
      </c>
      <c r="E17" s="146">
        <v>8988</v>
      </c>
      <c r="H17">
        <v>559845</v>
      </c>
      <c r="I17">
        <v>842644</v>
      </c>
      <c r="J17">
        <v>112575</v>
      </c>
    </row>
    <row r="18" spans="2:10">
      <c r="B18" s="217"/>
      <c r="C18" t="s">
        <v>188</v>
      </c>
      <c r="D18" s="146">
        <v>2852</v>
      </c>
      <c r="E18" s="146">
        <v>9281</v>
      </c>
      <c r="H18">
        <v>564234</v>
      </c>
      <c r="I18">
        <v>843152</v>
      </c>
      <c r="J18">
        <v>112592</v>
      </c>
    </row>
    <row r="19" spans="2:10">
      <c r="B19" s="217">
        <v>2019</v>
      </c>
      <c r="C19" t="s">
        <v>189</v>
      </c>
      <c r="D19" s="146">
        <v>4027</v>
      </c>
      <c r="E19" s="146">
        <v>12222</v>
      </c>
      <c r="H19">
        <v>571011</v>
      </c>
      <c r="I19">
        <v>845253</v>
      </c>
      <c r="J19">
        <v>112751</v>
      </c>
    </row>
    <row r="20" spans="2:10">
      <c r="B20" s="217"/>
      <c r="C20" t="s">
        <v>190</v>
      </c>
      <c r="D20" s="146">
        <v>4511</v>
      </c>
      <c r="E20" s="146">
        <v>12564</v>
      </c>
      <c r="H20">
        <v>573838</v>
      </c>
      <c r="I20">
        <v>846888</v>
      </c>
      <c r="J20">
        <v>112676</v>
      </c>
    </row>
    <row r="21" spans="2:10">
      <c r="B21" s="217"/>
      <c r="C21" t="s">
        <v>191</v>
      </c>
      <c r="D21" s="146">
        <v>4250</v>
      </c>
      <c r="E21" s="146">
        <v>12873</v>
      </c>
      <c r="H21">
        <v>579970</v>
      </c>
      <c r="I21">
        <v>849101</v>
      </c>
      <c r="J21">
        <v>112788</v>
      </c>
    </row>
    <row r="22" spans="2:10">
      <c r="B22" s="217"/>
      <c r="C22" t="s">
        <v>192</v>
      </c>
      <c r="D22" s="146">
        <v>3159</v>
      </c>
      <c r="E22" s="146">
        <v>12050</v>
      </c>
      <c r="H22">
        <v>590109</v>
      </c>
      <c r="I22">
        <v>851176</v>
      </c>
      <c r="J22">
        <v>112936</v>
      </c>
    </row>
    <row r="23" spans="2:10">
      <c r="B23" s="217"/>
      <c r="C23" t="s">
        <v>193</v>
      </c>
      <c r="D23" s="146">
        <v>3985</v>
      </c>
      <c r="E23" s="146">
        <v>15061</v>
      </c>
    </row>
    <row r="32" spans="2:10">
      <c r="F32" s="179">
        <v>11669</v>
      </c>
      <c r="G32" s="179">
        <v>22755</v>
      </c>
      <c r="H32" s="179">
        <v>1839</v>
      </c>
      <c r="I32" s="179">
        <v>392</v>
      </c>
    </row>
  </sheetData>
  <mergeCells count="3">
    <mergeCell ref="B4:B6"/>
    <mergeCell ref="B7:B18"/>
    <mergeCell ref="B19:B2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BH45"/>
  <sheetViews>
    <sheetView topLeftCell="AA1" workbookViewId="0">
      <selection activeCell="AQ39" sqref="AQ39"/>
    </sheetView>
  </sheetViews>
  <sheetFormatPr defaultRowHeight="15"/>
  <cols>
    <col min="1" max="1" width="4" style="9" customWidth="1"/>
    <col min="2" max="2" width="24.42578125" style="9" customWidth="1"/>
    <col min="3" max="3" width="19.85546875" style="9" customWidth="1"/>
    <col min="4" max="4" width="9.28515625" style="9" customWidth="1"/>
    <col min="5" max="8" width="11.85546875" style="57" customWidth="1"/>
    <col min="9" max="12" width="11.85546875" style="190" customWidth="1"/>
    <col min="13" max="13" width="8.28515625" style="9" customWidth="1"/>
    <col min="14" max="14" width="9.140625" style="9"/>
    <col min="15" max="17" width="7.5703125" style="9" customWidth="1"/>
    <col min="18" max="19" width="10.28515625" style="9" customWidth="1"/>
    <col min="20" max="20" width="18" style="214" customWidth="1"/>
    <col min="21" max="21" width="10.5703125" style="9" customWidth="1"/>
    <col min="22" max="22" width="11.140625" style="9" customWidth="1"/>
    <col min="23" max="23" width="10.42578125" style="9" customWidth="1"/>
    <col min="24" max="29" width="11" style="9" customWidth="1"/>
    <col min="30" max="30" width="15.28515625" style="9" customWidth="1"/>
    <col min="31" max="33" width="11" style="9" customWidth="1"/>
    <col min="34" max="35" width="11" style="53" customWidth="1"/>
    <col min="36" max="36" width="15.28515625" style="53" customWidth="1"/>
    <col min="37" max="37" width="11" style="53" customWidth="1"/>
    <col min="38" max="38" width="8.28515625" style="58" customWidth="1"/>
    <col min="39" max="39" width="9.85546875" style="58" customWidth="1"/>
    <col min="40" max="40" width="9.28515625" style="58" customWidth="1"/>
    <col min="41" max="41" width="13.140625" style="58" customWidth="1"/>
    <col min="42" max="42" width="8.85546875" style="58" bestFit="1" customWidth="1"/>
    <col min="43" max="43" width="19.140625" style="58" customWidth="1"/>
    <col min="44" max="44" width="15.28515625" style="9" customWidth="1"/>
    <col min="45" max="45" width="12.5703125" style="55" customWidth="1"/>
    <col min="46" max="46" width="20.7109375" style="19" customWidth="1"/>
    <col min="47" max="50" width="20.7109375" style="11" customWidth="1"/>
    <col min="52" max="52" width="38.5703125" style="9" customWidth="1"/>
    <col min="53" max="53" width="9.140625" style="13"/>
    <col min="54" max="57" width="9.140625" style="9"/>
    <col min="59" max="59" width="12.42578125" style="56" customWidth="1"/>
    <col min="60" max="60" width="16.7109375" style="9" customWidth="1"/>
    <col min="61" max="270" width="9.140625" style="9"/>
    <col min="271" max="271" width="4" style="9" customWidth="1"/>
    <col min="272" max="272" width="24.42578125" style="9" customWidth="1"/>
    <col min="273" max="273" width="19.85546875" style="9" customWidth="1"/>
    <col min="274" max="274" width="9.28515625" style="9" customWidth="1"/>
    <col min="275" max="275" width="10" style="9" customWidth="1"/>
    <col min="276" max="276" width="8.42578125" style="9" customWidth="1"/>
    <col min="277" max="277" width="12.28515625" style="9" customWidth="1"/>
    <col min="278" max="278" width="7.5703125" style="9" customWidth="1"/>
    <col min="279" max="279" width="7.85546875" style="9" customWidth="1"/>
    <col min="280" max="280" width="8.28515625" style="9" customWidth="1"/>
    <col min="281" max="281" width="9.140625" style="9"/>
    <col min="282" max="284" width="7.5703125" style="9" customWidth="1"/>
    <col min="285" max="285" width="10.28515625" style="9" customWidth="1"/>
    <col min="286" max="286" width="10.5703125" style="9" customWidth="1"/>
    <col min="287" max="287" width="11.140625" style="9" customWidth="1"/>
    <col min="288" max="288" width="10.42578125" style="9" customWidth="1"/>
    <col min="289" max="298" width="11" style="9" customWidth="1"/>
    <col min="299" max="299" width="9.140625" style="9" customWidth="1"/>
    <col min="300" max="300" width="6.85546875" style="9" customWidth="1"/>
    <col min="301" max="301" width="15" style="9" bestFit="1" customWidth="1"/>
    <col min="302" max="526" width="9.140625" style="9"/>
    <col min="527" max="527" width="4" style="9" customWidth="1"/>
    <col min="528" max="528" width="24.42578125" style="9" customWidth="1"/>
    <col min="529" max="529" width="19.85546875" style="9" customWidth="1"/>
    <col min="530" max="530" width="9.28515625" style="9" customWidth="1"/>
    <col min="531" max="531" width="10" style="9" customWidth="1"/>
    <col min="532" max="532" width="8.42578125" style="9" customWidth="1"/>
    <col min="533" max="533" width="12.28515625" style="9" customWidth="1"/>
    <col min="534" max="534" width="7.5703125" style="9" customWidth="1"/>
    <col min="535" max="535" width="7.85546875" style="9" customWidth="1"/>
    <col min="536" max="536" width="8.28515625" style="9" customWidth="1"/>
    <col min="537" max="537" width="9.140625" style="9"/>
    <col min="538" max="540" width="7.5703125" style="9" customWidth="1"/>
    <col min="541" max="541" width="10.28515625" style="9" customWidth="1"/>
    <col min="542" max="542" width="10.5703125" style="9" customWidth="1"/>
    <col min="543" max="543" width="11.140625" style="9" customWidth="1"/>
    <col min="544" max="544" width="10.42578125" style="9" customWidth="1"/>
    <col min="545" max="554" width="11" style="9" customWidth="1"/>
    <col min="555" max="555" width="9.140625" style="9" customWidth="1"/>
    <col min="556" max="556" width="6.85546875" style="9" customWidth="1"/>
    <col min="557" max="557" width="15" style="9" bestFit="1" customWidth="1"/>
    <col min="558" max="782" width="9.140625" style="9"/>
    <col min="783" max="783" width="4" style="9" customWidth="1"/>
    <col min="784" max="784" width="24.42578125" style="9" customWidth="1"/>
    <col min="785" max="785" width="19.85546875" style="9" customWidth="1"/>
    <col min="786" max="786" width="9.28515625" style="9" customWidth="1"/>
    <col min="787" max="787" width="10" style="9" customWidth="1"/>
    <col min="788" max="788" width="8.42578125" style="9" customWidth="1"/>
    <col min="789" max="789" width="12.28515625" style="9" customWidth="1"/>
    <col min="790" max="790" width="7.5703125" style="9" customWidth="1"/>
    <col min="791" max="791" width="7.85546875" style="9" customWidth="1"/>
    <col min="792" max="792" width="8.28515625" style="9" customWidth="1"/>
    <col min="793" max="793" width="9.140625" style="9"/>
    <col min="794" max="796" width="7.5703125" style="9" customWidth="1"/>
    <col min="797" max="797" width="10.28515625" style="9" customWidth="1"/>
    <col min="798" max="798" width="10.5703125" style="9" customWidth="1"/>
    <col min="799" max="799" width="11.140625" style="9" customWidth="1"/>
    <col min="800" max="800" width="10.42578125" style="9" customWidth="1"/>
    <col min="801" max="810" width="11" style="9" customWidth="1"/>
    <col min="811" max="811" width="9.140625" style="9" customWidth="1"/>
    <col min="812" max="812" width="6.85546875" style="9" customWidth="1"/>
    <col min="813" max="813" width="15" style="9" bestFit="1" customWidth="1"/>
    <col min="814" max="1038" width="9.140625" style="9"/>
    <col min="1039" max="1039" width="4" style="9" customWidth="1"/>
    <col min="1040" max="1040" width="24.42578125" style="9" customWidth="1"/>
    <col min="1041" max="1041" width="19.85546875" style="9" customWidth="1"/>
    <col min="1042" max="1042" width="9.28515625" style="9" customWidth="1"/>
    <col min="1043" max="1043" width="10" style="9" customWidth="1"/>
    <col min="1044" max="1044" width="8.42578125" style="9" customWidth="1"/>
    <col min="1045" max="1045" width="12.28515625" style="9" customWidth="1"/>
    <col min="1046" max="1046" width="7.5703125" style="9" customWidth="1"/>
    <col min="1047" max="1047" width="7.85546875" style="9" customWidth="1"/>
    <col min="1048" max="1048" width="8.28515625" style="9" customWidth="1"/>
    <col min="1049" max="1049" width="9.140625" style="9"/>
    <col min="1050" max="1052" width="7.5703125" style="9" customWidth="1"/>
    <col min="1053" max="1053" width="10.28515625" style="9" customWidth="1"/>
    <col min="1054" max="1054" width="10.5703125" style="9" customWidth="1"/>
    <col min="1055" max="1055" width="11.140625" style="9" customWidth="1"/>
    <col min="1056" max="1056" width="10.42578125" style="9" customWidth="1"/>
    <col min="1057" max="1066" width="11" style="9" customWidth="1"/>
    <col min="1067" max="1067" width="9.140625" style="9" customWidth="1"/>
    <col min="1068" max="1068" width="6.85546875" style="9" customWidth="1"/>
    <col min="1069" max="1069" width="15" style="9" bestFit="1" customWidth="1"/>
    <col min="1070" max="1294" width="9.140625" style="9"/>
    <col min="1295" max="1295" width="4" style="9" customWidth="1"/>
    <col min="1296" max="1296" width="24.42578125" style="9" customWidth="1"/>
    <col min="1297" max="1297" width="19.85546875" style="9" customWidth="1"/>
    <col min="1298" max="1298" width="9.28515625" style="9" customWidth="1"/>
    <col min="1299" max="1299" width="10" style="9" customWidth="1"/>
    <col min="1300" max="1300" width="8.42578125" style="9" customWidth="1"/>
    <col min="1301" max="1301" width="12.28515625" style="9" customWidth="1"/>
    <col min="1302" max="1302" width="7.5703125" style="9" customWidth="1"/>
    <col min="1303" max="1303" width="7.85546875" style="9" customWidth="1"/>
    <col min="1304" max="1304" width="8.28515625" style="9" customWidth="1"/>
    <col min="1305" max="1305" width="9.140625" style="9"/>
    <col min="1306" max="1308" width="7.5703125" style="9" customWidth="1"/>
    <col min="1309" max="1309" width="10.28515625" style="9" customWidth="1"/>
    <col min="1310" max="1310" width="10.5703125" style="9" customWidth="1"/>
    <col min="1311" max="1311" width="11.140625" style="9" customWidth="1"/>
    <col min="1312" max="1312" width="10.42578125" style="9" customWidth="1"/>
    <col min="1313" max="1322" width="11" style="9" customWidth="1"/>
    <col min="1323" max="1323" width="9.140625" style="9" customWidth="1"/>
    <col min="1324" max="1324" width="6.85546875" style="9" customWidth="1"/>
    <col min="1325" max="1325" width="15" style="9" bestFit="1" customWidth="1"/>
    <col min="1326" max="1550" width="9.140625" style="9"/>
    <col min="1551" max="1551" width="4" style="9" customWidth="1"/>
    <col min="1552" max="1552" width="24.42578125" style="9" customWidth="1"/>
    <col min="1553" max="1553" width="19.85546875" style="9" customWidth="1"/>
    <col min="1554" max="1554" width="9.28515625" style="9" customWidth="1"/>
    <col min="1555" max="1555" width="10" style="9" customWidth="1"/>
    <col min="1556" max="1556" width="8.42578125" style="9" customWidth="1"/>
    <col min="1557" max="1557" width="12.28515625" style="9" customWidth="1"/>
    <col min="1558" max="1558" width="7.5703125" style="9" customWidth="1"/>
    <col min="1559" max="1559" width="7.85546875" style="9" customWidth="1"/>
    <col min="1560" max="1560" width="8.28515625" style="9" customWidth="1"/>
    <col min="1561" max="1561" width="9.140625" style="9"/>
    <col min="1562" max="1564" width="7.5703125" style="9" customWidth="1"/>
    <col min="1565" max="1565" width="10.28515625" style="9" customWidth="1"/>
    <col min="1566" max="1566" width="10.5703125" style="9" customWidth="1"/>
    <col min="1567" max="1567" width="11.140625" style="9" customWidth="1"/>
    <col min="1568" max="1568" width="10.42578125" style="9" customWidth="1"/>
    <col min="1569" max="1578" width="11" style="9" customWidth="1"/>
    <col min="1579" max="1579" width="9.140625" style="9" customWidth="1"/>
    <col min="1580" max="1580" width="6.85546875" style="9" customWidth="1"/>
    <col min="1581" max="1581" width="15" style="9" bestFit="1" customWidth="1"/>
    <col min="1582" max="1806" width="9.140625" style="9"/>
    <col min="1807" max="1807" width="4" style="9" customWidth="1"/>
    <col min="1808" max="1808" width="24.42578125" style="9" customWidth="1"/>
    <col min="1809" max="1809" width="19.85546875" style="9" customWidth="1"/>
    <col min="1810" max="1810" width="9.28515625" style="9" customWidth="1"/>
    <col min="1811" max="1811" width="10" style="9" customWidth="1"/>
    <col min="1812" max="1812" width="8.42578125" style="9" customWidth="1"/>
    <col min="1813" max="1813" width="12.28515625" style="9" customWidth="1"/>
    <col min="1814" max="1814" width="7.5703125" style="9" customWidth="1"/>
    <col min="1815" max="1815" width="7.85546875" style="9" customWidth="1"/>
    <col min="1816" max="1816" width="8.28515625" style="9" customWidth="1"/>
    <col min="1817" max="1817" width="9.140625" style="9"/>
    <col min="1818" max="1820" width="7.5703125" style="9" customWidth="1"/>
    <col min="1821" max="1821" width="10.28515625" style="9" customWidth="1"/>
    <col min="1822" max="1822" width="10.5703125" style="9" customWidth="1"/>
    <col min="1823" max="1823" width="11.140625" style="9" customWidth="1"/>
    <col min="1824" max="1824" width="10.42578125" style="9" customWidth="1"/>
    <col min="1825" max="1834" width="11" style="9" customWidth="1"/>
    <col min="1835" max="1835" width="9.140625" style="9" customWidth="1"/>
    <col min="1836" max="1836" width="6.85546875" style="9" customWidth="1"/>
    <col min="1837" max="1837" width="15" style="9" bestFit="1" customWidth="1"/>
    <col min="1838" max="2062" width="9.140625" style="9"/>
    <col min="2063" max="2063" width="4" style="9" customWidth="1"/>
    <col min="2064" max="2064" width="24.42578125" style="9" customWidth="1"/>
    <col min="2065" max="2065" width="19.85546875" style="9" customWidth="1"/>
    <col min="2066" max="2066" width="9.28515625" style="9" customWidth="1"/>
    <col min="2067" max="2067" width="10" style="9" customWidth="1"/>
    <col min="2068" max="2068" width="8.42578125" style="9" customWidth="1"/>
    <col min="2069" max="2069" width="12.28515625" style="9" customWidth="1"/>
    <col min="2070" max="2070" width="7.5703125" style="9" customWidth="1"/>
    <col min="2071" max="2071" width="7.85546875" style="9" customWidth="1"/>
    <col min="2072" max="2072" width="8.28515625" style="9" customWidth="1"/>
    <col min="2073" max="2073" width="9.140625" style="9"/>
    <col min="2074" max="2076" width="7.5703125" style="9" customWidth="1"/>
    <col min="2077" max="2077" width="10.28515625" style="9" customWidth="1"/>
    <col min="2078" max="2078" width="10.5703125" style="9" customWidth="1"/>
    <col min="2079" max="2079" width="11.140625" style="9" customWidth="1"/>
    <col min="2080" max="2080" width="10.42578125" style="9" customWidth="1"/>
    <col min="2081" max="2090" width="11" style="9" customWidth="1"/>
    <col min="2091" max="2091" width="9.140625" style="9" customWidth="1"/>
    <col min="2092" max="2092" width="6.85546875" style="9" customWidth="1"/>
    <col min="2093" max="2093" width="15" style="9" bestFit="1" customWidth="1"/>
    <col min="2094" max="2318" width="9.140625" style="9"/>
    <col min="2319" max="2319" width="4" style="9" customWidth="1"/>
    <col min="2320" max="2320" width="24.42578125" style="9" customWidth="1"/>
    <col min="2321" max="2321" width="19.85546875" style="9" customWidth="1"/>
    <col min="2322" max="2322" width="9.28515625" style="9" customWidth="1"/>
    <col min="2323" max="2323" width="10" style="9" customWidth="1"/>
    <col min="2324" max="2324" width="8.42578125" style="9" customWidth="1"/>
    <col min="2325" max="2325" width="12.28515625" style="9" customWidth="1"/>
    <col min="2326" max="2326" width="7.5703125" style="9" customWidth="1"/>
    <col min="2327" max="2327" width="7.85546875" style="9" customWidth="1"/>
    <col min="2328" max="2328" width="8.28515625" style="9" customWidth="1"/>
    <col min="2329" max="2329" width="9.140625" style="9"/>
    <col min="2330" max="2332" width="7.5703125" style="9" customWidth="1"/>
    <col min="2333" max="2333" width="10.28515625" style="9" customWidth="1"/>
    <col min="2334" max="2334" width="10.5703125" style="9" customWidth="1"/>
    <col min="2335" max="2335" width="11.140625" style="9" customWidth="1"/>
    <col min="2336" max="2336" width="10.42578125" style="9" customWidth="1"/>
    <col min="2337" max="2346" width="11" style="9" customWidth="1"/>
    <col min="2347" max="2347" width="9.140625" style="9" customWidth="1"/>
    <col min="2348" max="2348" width="6.85546875" style="9" customWidth="1"/>
    <col min="2349" max="2349" width="15" style="9" bestFit="1" customWidth="1"/>
    <col min="2350" max="2574" width="9.140625" style="9"/>
    <col min="2575" max="2575" width="4" style="9" customWidth="1"/>
    <col min="2576" max="2576" width="24.42578125" style="9" customWidth="1"/>
    <col min="2577" max="2577" width="19.85546875" style="9" customWidth="1"/>
    <col min="2578" max="2578" width="9.28515625" style="9" customWidth="1"/>
    <col min="2579" max="2579" width="10" style="9" customWidth="1"/>
    <col min="2580" max="2580" width="8.42578125" style="9" customWidth="1"/>
    <col min="2581" max="2581" width="12.28515625" style="9" customWidth="1"/>
    <col min="2582" max="2582" width="7.5703125" style="9" customWidth="1"/>
    <col min="2583" max="2583" width="7.85546875" style="9" customWidth="1"/>
    <col min="2584" max="2584" width="8.28515625" style="9" customWidth="1"/>
    <col min="2585" max="2585" width="9.140625" style="9"/>
    <col min="2586" max="2588" width="7.5703125" style="9" customWidth="1"/>
    <col min="2589" max="2589" width="10.28515625" style="9" customWidth="1"/>
    <col min="2590" max="2590" width="10.5703125" style="9" customWidth="1"/>
    <col min="2591" max="2591" width="11.140625" style="9" customWidth="1"/>
    <col min="2592" max="2592" width="10.42578125" style="9" customWidth="1"/>
    <col min="2593" max="2602" width="11" style="9" customWidth="1"/>
    <col min="2603" max="2603" width="9.140625" style="9" customWidth="1"/>
    <col min="2604" max="2604" width="6.85546875" style="9" customWidth="1"/>
    <col min="2605" max="2605" width="15" style="9" bestFit="1" customWidth="1"/>
    <col min="2606" max="2830" width="9.140625" style="9"/>
    <col min="2831" max="2831" width="4" style="9" customWidth="1"/>
    <col min="2832" max="2832" width="24.42578125" style="9" customWidth="1"/>
    <col min="2833" max="2833" width="19.85546875" style="9" customWidth="1"/>
    <col min="2834" max="2834" width="9.28515625" style="9" customWidth="1"/>
    <col min="2835" max="2835" width="10" style="9" customWidth="1"/>
    <col min="2836" max="2836" width="8.42578125" style="9" customWidth="1"/>
    <col min="2837" max="2837" width="12.28515625" style="9" customWidth="1"/>
    <col min="2838" max="2838" width="7.5703125" style="9" customWidth="1"/>
    <col min="2839" max="2839" width="7.85546875" style="9" customWidth="1"/>
    <col min="2840" max="2840" width="8.28515625" style="9" customWidth="1"/>
    <col min="2841" max="2841" width="9.140625" style="9"/>
    <col min="2842" max="2844" width="7.5703125" style="9" customWidth="1"/>
    <col min="2845" max="2845" width="10.28515625" style="9" customWidth="1"/>
    <col min="2846" max="2846" width="10.5703125" style="9" customWidth="1"/>
    <col min="2847" max="2847" width="11.140625" style="9" customWidth="1"/>
    <col min="2848" max="2848" width="10.42578125" style="9" customWidth="1"/>
    <col min="2849" max="2858" width="11" style="9" customWidth="1"/>
    <col min="2859" max="2859" width="9.140625" style="9" customWidth="1"/>
    <col min="2860" max="2860" width="6.85546875" style="9" customWidth="1"/>
    <col min="2861" max="2861" width="15" style="9" bestFit="1" customWidth="1"/>
    <col min="2862" max="3086" width="9.140625" style="9"/>
    <col min="3087" max="3087" width="4" style="9" customWidth="1"/>
    <col min="3088" max="3088" width="24.42578125" style="9" customWidth="1"/>
    <col min="3089" max="3089" width="19.85546875" style="9" customWidth="1"/>
    <col min="3090" max="3090" width="9.28515625" style="9" customWidth="1"/>
    <col min="3091" max="3091" width="10" style="9" customWidth="1"/>
    <col min="3092" max="3092" width="8.42578125" style="9" customWidth="1"/>
    <col min="3093" max="3093" width="12.28515625" style="9" customWidth="1"/>
    <col min="3094" max="3094" width="7.5703125" style="9" customWidth="1"/>
    <col min="3095" max="3095" width="7.85546875" style="9" customWidth="1"/>
    <col min="3096" max="3096" width="8.28515625" style="9" customWidth="1"/>
    <col min="3097" max="3097" width="9.140625" style="9"/>
    <col min="3098" max="3100" width="7.5703125" style="9" customWidth="1"/>
    <col min="3101" max="3101" width="10.28515625" style="9" customWidth="1"/>
    <col min="3102" max="3102" width="10.5703125" style="9" customWidth="1"/>
    <col min="3103" max="3103" width="11.140625" style="9" customWidth="1"/>
    <col min="3104" max="3104" width="10.42578125" style="9" customWidth="1"/>
    <col min="3105" max="3114" width="11" style="9" customWidth="1"/>
    <col min="3115" max="3115" width="9.140625" style="9" customWidth="1"/>
    <col min="3116" max="3116" width="6.85546875" style="9" customWidth="1"/>
    <col min="3117" max="3117" width="15" style="9" bestFit="1" customWidth="1"/>
    <col min="3118" max="3342" width="9.140625" style="9"/>
    <col min="3343" max="3343" width="4" style="9" customWidth="1"/>
    <col min="3344" max="3344" width="24.42578125" style="9" customWidth="1"/>
    <col min="3345" max="3345" width="19.85546875" style="9" customWidth="1"/>
    <col min="3346" max="3346" width="9.28515625" style="9" customWidth="1"/>
    <col min="3347" max="3347" width="10" style="9" customWidth="1"/>
    <col min="3348" max="3348" width="8.42578125" style="9" customWidth="1"/>
    <col min="3349" max="3349" width="12.28515625" style="9" customWidth="1"/>
    <col min="3350" max="3350" width="7.5703125" style="9" customWidth="1"/>
    <col min="3351" max="3351" width="7.85546875" style="9" customWidth="1"/>
    <col min="3352" max="3352" width="8.28515625" style="9" customWidth="1"/>
    <col min="3353" max="3353" width="9.140625" style="9"/>
    <col min="3354" max="3356" width="7.5703125" style="9" customWidth="1"/>
    <col min="3357" max="3357" width="10.28515625" style="9" customWidth="1"/>
    <col min="3358" max="3358" width="10.5703125" style="9" customWidth="1"/>
    <col min="3359" max="3359" width="11.140625" style="9" customWidth="1"/>
    <col min="3360" max="3360" width="10.42578125" style="9" customWidth="1"/>
    <col min="3361" max="3370" width="11" style="9" customWidth="1"/>
    <col min="3371" max="3371" width="9.140625" style="9" customWidth="1"/>
    <col min="3372" max="3372" width="6.85546875" style="9" customWidth="1"/>
    <col min="3373" max="3373" width="15" style="9" bestFit="1" customWidth="1"/>
    <col min="3374" max="3598" width="9.140625" style="9"/>
    <col min="3599" max="3599" width="4" style="9" customWidth="1"/>
    <col min="3600" max="3600" width="24.42578125" style="9" customWidth="1"/>
    <col min="3601" max="3601" width="19.85546875" style="9" customWidth="1"/>
    <col min="3602" max="3602" width="9.28515625" style="9" customWidth="1"/>
    <col min="3603" max="3603" width="10" style="9" customWidth="1"/>
    <col min="3604" max="3604" width="8.42578125" style="9" customWidth="1"/>
    <col min="3605" max="3605" width="12.28515625" style="9" customWidth="1"/>
    <col min="3606" max="3606" width="7.5703125" style="9" customWidth="1"/>
    <col min="3607" max="3607" width="7.85546875" style="9" customWidth="1"/>
    <col min="3608" max="3608" width="8.28515625" style="9" customWidth="1"/>
    <col min="3609" max="3609" width="9.140625" style="9"/>
    <col min="3610" max="3612" width="7.5703125" style="9" customWidth="1"/>
    <col min="3613" max="3613" width="10.28515625" style="9" customWidth="1"/>
    <col min="3614" max="3614" width="10.5703125" style="9" customWidth="1"/>
    <col min="3615" max="3615" width="11.140625" style="9" customWidth="1"/>
    <col min="3616" max="3616" width="10.42578125" style="9" customWidth="1"/>
    <col min="3617" max="3626" width="11" style="9" customWidth="1"/>
    <col min="3627" max="3627" width="9.140625" style="9" customWidth="1"/>
    <col min="3628" max="3628" width="6.85546875" style="9" customWidth="1"/>
    <col min="3629" max="3629" width="15" style="9" bestFit="1" customWidth="1"/>
    <col min="3630" max="3854" width="9.140625" style="9"/>
    <col min="3855" max="3855" width="4" style="9" customWidth="1"/>
    <col min="3856" max="3856" width="24.42578125" style="9" customWidth="1"/>
    <col min="3857" max="3857" width="19.85546875" style="9" customWidth="1"/>
    <col min="3858" max="3858" width="9.28515625" style="9" customWidth="1"/>
    <col min="3859" max="3859" width="10" style="9" customWidth="1"/>
    <col min="3860" max="3860" width="8.42578125" style="9" customWidth="1"/>
    <col min="3861" max="3861" width="12.28515625" style="9" customWidth="1"/>
    <col min="3862" max="3862" width="7.5703125" style="9" customWidth="1"/>
    <col min="3863" max="3863" width="7.85546875" style="9" customWidth="1"/>
    <col min="3864" max="3864" width="8.28515625" style="9" customWidth="1"/>
    <col min="3865" max="3865" width="9.140625" style="9"/>
    <col min="3866" max="3868" width="7.5703125" style="9" customWidth="1"/>
    <col min="3869" max="3869" width="10.28515625" style="9" customWidth="1"/>
    <col min="3870" max="3870" width="10.5703125" style="9" customWidth="1"/>
    <col min="3871" max="3871" width="11.140625" style="9" customWidth="1"/>
    <col min="3872" max="3872" width="10.42578125" style="9" customWidth="1"/>
    <col min="3873" max="3882" width="11" style="9" customWidth="1"/>
    <col min="3883" max="3883" width="9.140625" style="9" customWidth="1"/>
    <col min="3884" max="3884" width="6.85546875" style="9" customWidth="1"/>
    <col min="3885" max="3885" width="15" style="9" bestFit="1" customWidth="1"/>
    <col min="3886" max="4110" width="9.140625" style="9"/>
    <col min="4111" max="4111" width="4" style="9" customWidth="1"/>
    <col min="4112" max="4112" width="24.42578125" style="9" customWidth="1"/>
    <col min="4113" max="4113" width="19.85546875" style="9" customWidth="1"/>
    <col min="4114" max="4114" width="9.28515625" style="9" customWidth="1"/>
    <col min="4115" max="4115" width="10" style="9" customWidth="1"/>
    <col min="4116" max="4116" width="8.42578125" style="9" customWidth="1"/>
    <col min="4117" max="4117" width="12.28515625" style="9" customWidth="1"/>
    <col min="4118" max="4118" width="7.5703125" style="9" customWidth="1"/>
    <col min="4119" max="4119" width="7.85546875" style="9" customWidth="1"/>
    <col min="4120" max="4120" width="8.28515625" style="9" customWidth="1"/>
    <col min="4121" max="4121" width="9.140625" style="9"/>
    <col min="4122" max="4124" width="7.5703125" style="9" customWidth="1"/>
    <col min="4125" max="4125" width="10.28515625" style="9" customWidth="1"/>
    <col min="4126" max="4126" width="10.5703125" style="9" customWidth="1"/>
    <col min="4127" max="4127" width="11.140625" style="9" customWidth="1"/>
    <col min="4128" max="4128" width="10.42578125" style="9" customWidth="1"/>
    <col min="4129" max="4138" width="11" style="9" customWidth="1"/>
    <col min="4139" max="4139" width="9.140625" style="9" customWidth="1"/>
    <col min="4140" max="4140" width="6.85546875" style="9" customWidth="1"/>
    <col min="4141" max="4141" width="15" style="9" bestFit="1" customWidth="1"/>
    <col min="4142" max="4366" width="9.140625" style="9"/>
    <col min="4367" max="4367" width="4" style="9" customWidth="1"/>
    <col min="4368" max="4368" width="24.42578125" style="9" customWidth="1"/>
    <col min="4369" max="4369" width="19.85546875" style="9" customWidth="1"/>
    <col min="4370" max="4370" width="9.28515625" style="9" customWidth="1"/>
    <col min="4371" max="4371" width="10" style="9" customWidth="1"/>
    <col min="4372" max="4372" width="8.42578125" style="9" customWidth="1"/>
    <col min="4373" max="4373" width="12.28515625" style="9" customWidth="1"/>
    <col min="4374" max="4374" width="7.5703125" style="9" customWidth="1"/>
    <col min="4375" max="4375" width="7.85546875" style="9" customWidth="1"/>
    <col min="4376" max="4376" width="8.28515625" style="9" customWidth="1"/>
    <col min="4377" max="4377" width="9.140625" style="9"/>
    <col min="4378" max="4380" width="7.5703125" style="9" customWidth="1"/>
    <col min="4381" max="4381" width="10.28515625" style="9" customWidth="1"/>
    <col min="4382" max="4382" width="10.5703125" style="9" customWidth="1"/>
    <col min="4383" max="4383" width="11.140625" style="9" customWidth="1"/>
    <col min="4384" max="4384" width="10.42578125" style="9" customWidth="1"/>
    <col min="4385" max="4394" width="11" style="9" customWidth="1"/>
    <col min="4395" max="4395" width="9.140625" style="9" customWidth="1"/>
    <col min="4396" max="4396" width="6.85546875" style="9" customWidth="1"/>
    <col min="4397" max="4397" width="15" style="9" bestFit="1" customWidth="1"/>
    <col min="4398" max="4622" width="9.140625" style="9"/>
    <col min="4623" max="4623" width="4" style="9" customWidth="1"/>
    <col min="4624" max="4624" width="24.42578125" style="9" customWidth="1"/>
    <col min="4625" max="4625" width="19.85546875" style="9" customWidth="1"/>
    <col min="4626" max="4626" width="9.28515625" style="9" customWidth="1"/>
    <col min="4627" max="4627" width="10" style="9" customWidth="1"/>
    <col min="4628" max="4628" width="8.42578125" style="9" customWidth="1"/>
    <col min="4629" max="4629" width="12.28515625" style="9" customWidth="1"/>
    <col min="4630" max="4630" width="7.5703125" style="9" customWidth="1"/>
    <col min="4631" max="4631" width="7.85546875" style="9" customWidth="1"/>
    <col min="4632" max="4632" width="8.28515625" style="9" customWidth="1"/>
    <col min="4633" max="4633" width="9.140625" style="9"/>
    <col min="4634" max="4636" width="7.5703125" style="9" customWidth="1"/>
    <col min="4637" max="4637" width="10.28515625" style="9" customWidth="1"/>
    <col min="4638" max="4638" width="10.5703125" style="9" customWidth="1"/>
    <col min="4639" max="4639" width="11.140625" style="9" customWidth="1"/>
    <col min="4640" max="4640" width="10.42578125" style="9" customWidth="1"/>
    <col min="4641" max="4650" width="11" style="9" customWidth="1"/>
    <col min="4651" max="4651" width="9.140625" style="9" customWidth="1"/>
    <col min="4652" max="4652" width="6.85546875" style="9" customWidth="1"/>
    <col min="4653" max="4653" width="15" style="9" bestFit="1" customWidth="1"/>
    <col min="4654" max="4878" width="9.140625" style="9"/>
    <col min="4879" max="4879" width="4" style="9" customWidth="1"/>
    <col min="4880" max="4880" width="24.42578125" style="9" customWidth="1"/>
    <col min="4881" max="4881" width="19.85546875" style="9" customWidth="1"/>
    <col min="4882" max="4882" width="9.28515625" style="9" customWidth="1"/>
    <col min="4883" max="4883" width="10" style="9" customWidth="1"/>
    <col min="4884" max="4884" width="8.42578125" style="9" customWidth="1"/>
    <col min="4885" max="4885" width="12.28515625" style="9" customWidth="1"/>
    <col min="4886" max="4886" width="7.5703125" style="9" customWidth="1"/>
    <col min="4887" max="4887" width="7.85546875" style="9" customWidth="1"/>
    <col min="4888" max="4888" width="8.28515625" style="9" customWidth="1"/>
    <col min="4889" max="4889" width="9.140625" style="9"/>
    <col min="4890" max="4892" width="7.5703125" style="9" customWidth="1"/>
    <col min="4893" max="4893" width="10.28515625" style="9" customWidth="1"/>
    <col min="4894" max="4894" width="10.5703125" style="9" customWidth="1"/>
    <col min="4895" max="4895" width="11.140625" style="9" customWidth="1"/>
    <col min="4896" max="4896" width="10.42578125" style="9" customWidth="1"/>
    <col min="4897" max="4906" width="11" style="9" customWidth="1"/>
    <col min="4907" max="4907" width="9.140625" style="9" customWidth="1"/>
    <col min="4908" max="4908" width="6.85546875" style="9" customWidth="1"/>
    <col min="4909" max="4909" width="15" style="9" bestFit="1" customWidth="1"/>
    <col min="4910" max="5134" width="9.140625" style="9"/>
    <col min="5135" max="5135" width="4" style="9" customWidth="1"/>
    <col min="5136" max="5136" width="24.42578125" style="9" customWidth="1"/>
    <col min="5137" max="5137" width="19.85546875" style="9" customWidth="1"/>
    <col min="5138" max="5138" width="9.28515625" style="9" customWidth="1"/>
    <col min="5139" max="5139" width="10" style="9" customWidth="1"/>
    <col min="5140" max="5140" width="8.42578125" style="9" customWidth="1"/>
    <col min="5141" max="5141" width="12.28515625" style="9" customWidth="1"/>
    <col min="5142" max="5142" width="7.5703125" style="9" customWidth="1"/>
    <col min="5143" max="5143" width="7.85546875" style="9" customWidth="1"/>
    <col min="5144" max="5144" width="8.28515625" style="9" customWidth="1"/>
    <col min="5145" max="5145" width="9.140625" style="9"/>
    <col min="5146" max="5148" width="7.5703125" style="9" customWidth="1"/>
    <col min="5149" max="5149" width="10.28515625" style="9" customWidth="1"/>
    <col min="5150" max="5150" width="10.5703125" style="9" customWidth="1"/>
    <col min="5151" max="5151" width="11.140625" style="9" customWidth="1"/>
    <col min="5152" max="5152" width="10.42578125" style="9" customWidth="1"/>
    <col min="5153" max="5162" width="11" style="9" customWidth="1"/>
    <col min="5163" max="5163" width="9.140625" style="9" customWidth="1"/>
    <col min="5164" max="5164" width="6.85546875" style="9" customWidth="1"/>
    <col min="5165" max="5165" width="15" style="9" bestFit="1" customWidth="1"/>
    <col min="5166" max="5390" width="9.140625" style="9"/>
    <col min="5391" max="5391" width="4" style="9" customWidth="1"/>
    <col min="5392" max="5392" width="24.42578125" style="9" customWidth="1"/>
    <col min="5393" max="5393" width="19.85546875" style="9" customWidth="1"/>
    <col min="5394" max="5394" width="9.28515625" style="9" customWidth="1"/>
    <col min="5395" max="5395" width="10" style="9" customWidth="1"/>
    <col min="5396" max="5396" width="8.42578125" style="9" customWidth="1"/>
    <col min="5397" max="5397" width="12.28515625" style="9" customWidth="1"/>
    <col min="5398" max="5398" width="7.5703125" style="9" customWidth="1"/>
    <col min="5399" max="5399" width="7.85546875" style="9" customWidth="1"/>
    <col min="5400" max="5400" width="8.28515625" style="9" customWidth="1"/>
    <col min="5401" max="5401" width="9.140625" style="9"/>
    <col min="5402" max="5404" width="7.5703125" style="9" customWidth="1"/>
    <col min="5405" max="5405" width="10.28515625" style="9" customWidth="1"/>
    <col min="5406" max="5406" width="10.5703125" style="9" customWidth="1"/>
    <col min="5407" max="5407" width="11.140625" style="9" customWidth="1"/>
    <col min="5408" max="5408" width="10.42578125" style="9" customWidth="1"/>
    <col min="5409" max="5418" width="11" style="9" customWidth="1"/>
    <col min="5419" max="5419" width="9.140625" style="9" customWidth="1"/>
    <col min="5420" max="5420" width="6.85546875" style="9" customWidth="1"/>
    <col min="5421" max="5421" width="15" style="9" bestFit="1" customWidth="1"/>
    <col min="5422" max="5646" width="9.140625" style="9"/>
    <col min="5647" max="5647" width="4" style="9" customWidth="1"/>
    <col min="5648" max="5648" width="24.42578125" style="9" customWidth="1"/>
    <col min="5649" max="5649" width="19.85546875" style="9" customWidth="1"/>
    <col min="5650" max="5650" width="9.28515625" style="9" customWidth="1"/>
    <col min="5651" max="5651" width="10" style="9" customWidth="1"/>
    <col min="5652" max="5652" width="8.42578125" style="9" customWidth="1"/>
    <col min="5653" max="5653" width="12.28515625" style="9" customWidth="1"/>
    <col min="5654" max="5654" width="7.5703125" style="9" customWidth="1"/>
    <col min="5655" max="5655" width="7.85546875" style="9" customWidth="1"/>
    <col min="5656" max="5656" width="8.28515625" style="9" customWidth="1"/>
    <col min="5657" max="5657" width="9.140625" style="9"/>
    <col min="5658" max="5660" width="7.5703125" style="9" customWidth="1"/>
    <col min="5661" max="5661" width="10.28515625" style="9" customWidth="1"/>
    <col min="5662" max="5662" width="10.5703125" style="9" customWidth="1"/>
    <col min="5663" max="5663" width="11.140625" style="9" customWidth="1"/>
    <col min="5664" max="5664" width="10.42578125" style="9" customWidth="1"/>
    <col min="5665" max="5674" width="11" style="9" customWidth="1"/>
    <col min="5675" max="5675" width="9.140625" style="9" customWidth="1"/>
    <col min="5676" max="5676" width="6.85546875" style="9" customWidth="1"/>
    <col min="5677" max="5677" width="15" style="9" bestFit="1" customWidth="1"/>
    <col min="5678" max="5902" width="9.140625" style="9"/>
    <col min="5903" max="5903" width="4" style="9" customWidth="1"/>
    <col min="5904" max="5904" width="24.42578125" style="9" customWidth="1"/>
    <col min="5905" max="5905" width="19.85546875" style="9" customWidth="1"/>
    <col min="5906" max="5906" width="9.28515625" style="9" customWidth="1"/>
    <col min="5907" max="5907" width="10" style="9" customWidth="1"/>
    <col min="5908" max="5908" width="8.42578125" style="9" customWidth="1"/>
    <col min="5909" max="5909" width="12.28515625" style="9" customWidth="1"/>
    <col min="5910" max="5910" width="7.5703125" style="9" customWidth="1"/>
    <col min="5911" max="5911" width="7.85546875" style="9" customWidth="1"/>
    <col min="5912" max="5912" width="8.28515625" style="9" customWidth="1"/>
    <col min="5913" max="5913" width="9.140625" style="9"/>
    <col min="5914" max="5916" width="7.5703125" style="9" customWidth="1"/>
    <col min="5917" max="5917" width="10.28515625" style="9" customWidth="1"/>
    <col min="5918" max="5918" width="10.5703125" style="9" customWidth="1"/>
    <col min="5919" max="5919" width="11.140625" style="9" customWidth="1"/>
    <col min="5920" max="5920" width="10.42578125" style="9" customWidth="1"/>
    <col min="5921" max="5930" width="11" style="9" customWidth="1"/>
    <col min="5931" max="5931" width="9.140625" style="9" customWidth="1"/>
    <col min="5932" max="5932" width="6.85546875" style="9" customWidth="1"/>
    <col min="5933" max="5933" width="15" style="9" bestFit="1" customWidth="1"/>
    <col min="5934" max="6158" width="9.140625" style="9"/>
    <col min="6159" max="6159" width="4" style="9" customWidth="1"/>
    <col min="6160" max="6160" width="24.42578125" style="9" customWidth="1"/>
    <col min="6161" max="6161" width="19.85546875" style="9" customWidth="1"/>
    <col min="6162" max="6162" width="9.28515625" style="9" customWidth="1"/>
    <col min="6163" max="6163" width="10" style="9" customWidth="1"/>
    <col min="6164" max="6164" width="8.42578125" style="9" customWidth="1"/>
    <col min="6165" max="6165" width="12.28515625" style="9" customWidth="1"/>
    <col min="6166" max="6166" width="7.5703125" style="9" customWidth="1"/>
    <col min="6167" max="6167" width="7.85546875" style="9" customWidth="1"/>
    <col min="6168" max="6168" width="8.28515625" style="9" customWidth="1"/>
    <col min="6169" max="6169" width="9.140625" style="9"/>
    <col min="6170" max="6172" width="7.5703125" style="9" customWidth="1"/>
    <col min="6173" max="6173" width="10.28515625" style="9" customWidth="1"/>
    <col min="6174" max="6174" width="10.5703125" style="9" customWidth="1"/>
    <col min="6175" max="6175" width="11.140625" style="9" customWidth="1"/>
    <col min="6176" max="6176" width="10.42578125" style="9" customWidth="1"/>
    <col min="6177" max="6186" width="11" style="9" customWidth="1"/>
    <col min="6187" max="6187" width="9.140625" style="9" customWidth="1"/>
    <col min="6188" max="6188" width="6.85546875" style="9" customWidth="1"/>
    <col min="6189" max="6189" width="15" style="9" bestFit="1" customWidth="1"/>
    <col min="6190" max="6414" width="9.140625" style="9"/>
    <col min="6415" max="6415" width="4" style="9" customWidth="1"/>
    <col min="6416" max="6416" width="24.42578125" style="9" customWidth="1"/>
    <col min="6417" max="6417" width="19.85546875" style="9" customWidth="1"/>
    <col min="6418" max="6418" width="9.28515625" style="9" customWidth="1"/>
    <col min="6419" max="6419" width="10" style="9" customWidth="1"/>
    <col min="6420" max="6420" width="8.42578125" style="9" customWidth="1"/>
    <col min="6421" max="6421" width="12.28515625" style="9" customWidth="1"/>
    <col min="6422" max="6422" width="7.5703125" style="9" customWidth="1"/>
    <col min="6423" max="6423" width="7.85546875" style="9" customWidth="1"/>
    <col min="6424" max="6424" width="8.28515625" style="9" customWidth="1"/>
    <col min="6425" max="6425" width="9.140625" style="9"/>
    <col min="6426" max="6428" width="7.5703125" style="9" customWidth="1"/>
    <col min="6429" max="6429" width="10.28515625" style="9" customWidth="1"/>
    <col min="6430" max="6430" width="10.5703125" style="9" customWidth="1"/>
    <col min="6431" max="6431" width="11.140625" style="9" customWidth="1"/>
    <col min="6432" max="6432" width="10.42578125" style="9" customWidth="1"/>
    <col min="6433" max="6442" width="11" style="9" customWidth="1"/>
    <col min="6443" max="6443" width="9.140625" style="9" customWidth="1"/>
    <col min="6444" max="6444" width="6.85546875" style="9" customWidth="1"/>
    <col min="6445" max="6445" width="15" style="9" bestFit="1" customWidth="1"/>
    <col min="6446" max="6670" width="9.140625" style="9"/>
    <col min="6671" max="6671" width="4" style="9" customWidth="1"/>
    <col min="6672" max="6672" width="24.42578125" style="9" customWidth="1"/>
    <col min="6673" max="6673" width="19.85546875" style="9" customWidth="1"/>
    <col min="6674" max="6674" width="9.28515625" style="9" customWidth="1"/>
    <col min="6675" max="6675" width="10" style="9" customWidth="1"/>
    <col min="6676" max="6676" width="8.42578125" style="9" customWidth="1"/>
    <col min="6677" max="6677" width="12.28515625" style="9" customWidth="1"/>
    <col min="6678" max="6678" width="7.5703125" style="9" customWidth="1"/>
    <col min="6679" max="6679" width="7.85546875" style="9" customWidth="1"/>
    <col min="6680" max="6680" width="8.28515625" style="9" customWidth="1"/>
    <col min="6681" max="6681" width="9.140625" style="9"/>
    <col min="6682" max="6684" width="7.5703125" style="9" customWidth="1"/>
    <col min="6685" max="6685" width="10.28515625" style="9" customWidth="1"/>
    <col min="6686" max="6686" width="10.5703125" style="9" customWidth="1"/>
    <col min="6687" max="6687" width="11.140625" style="9" customWidth="1"/>
    <col min="6688" max="6688" width="10.42578125" style="9" customWidth="1"/>
    <col min="6689" max="6698" width="11" style="9" customWidth="1"/>
    <col min="6699" max="6699" width="9.140625" style="9" customWidth="1"/>
    <col min="6700" max="6700" width="6.85546875" style="9" customWidth="1"/>
    <col min="6701" max="6701" width="15" style="9" bestFit="1" customWidth="1"/>
    <col min="6702" max="6926" width="9.140625" style="9"/>
    <col min="6927" max="6927" width="4" style="9" customWidth="1"/>
    <col min="6928" max="6928" width="24.42578125" style="9" customWidth="1"/>
    <col min="6929" max="6929" width="19.85546875" style="9" customWidth="1"/>
    <col min="6930" max="6930" width="9.28515625" style="9" customWidth="1"/>
    <col min="6931" max="6931" width="10" style="9" customWidth="1"/>
    <col min="6932" max="6932" width="8.42578125" style="9" customWidth="1"/>
    <col min="6933" max="6933" width="12.28515625" style="9" customWidth="1"/>
    <col min="6934" max="6934" width="7.5703125" style="9" customWidth="1"/>
    <col min="6935" max="6935" width="7.85546875" style="9" customWidth="1"/>
    <col min="6936" max="6936" width="8.28515625" style="9" customWidth="1"/>
    <col min="6937" max="6937" width="9.140625" style="9"/>
    <col min="6938" max="6940" width="7.5703125" style="9" customWidth="1"/>
    <col min="6941" max="6941" width="10.28515625" style="9" customWidth="1"/>
    <col min="6942" max="6942" width="10.5703125" style="9" customWidth="1"/>
    <col min="6943" max="6943" width="11.140625" style="9" customWidth="1"/>
    <col min="6944" max="6944" width="10.42578125" style="9" customWidth="1"/>
    <col min="6945" max="6954" width="11" style="9" customWidth="1"/>
    <col min="6955" max="6955" width="9.140625" style="9" customWidth="1"/>
    <col min="6956" max="6956" width="6.85546875" style="9" customWidth="1"/>
    <col min="6957" max="6957" width="15" style="9" bestFit="1" customWidth="1"/>
    <col min="6958" max="7182" width="9.140625" style="9"/>
    <col min="7183" max="7183" width="4" style="9" customWidth="1"/>
    <col min="7184" max="7184" width="24.42578125" style="9" customWidth="1"/>
    <col min="7185" max="7185" width="19.85546875" style="9" customWidth="1"/>
    <col min="7186" max="7186" width="9.28515625" style="9" customWidth="1"/>
    <col min="7187" max="7187" width="10" style="9" customWidth="1"/>
    <col min="7188" max="7188" width="8.42578125" style="9" customWidth="1"/>
    <col min="7189" max="7189" width="12.28515625" style="9" customWidth="1"/>
    <col min="7190" max="7190" width="7.5703125" style="9" customWidth="1"/>
    <col min="7191" max="7191" width="7.85546875" style="9" customWidth="1"/>
    <col min="7192" max="7192" width="8.28515625" style="9" customWidth="1"/>
    <col min="7193" max="7193" width="9.140625" style="9"/>
    <col min="7194" max="7196" width="7.5703125" style="9" customWidth="1"/>
    <col min="7197" max="7197" width="10.28515625" style="9" customWidth="1"/>
    <col min="7198" max="7198" width="10.5703125" style="9" customWidth="1"/>
    <col min="7199" max="7199" width="11.140625" style="9" customWidth="1"/>
    <col min="7200" max="7200" width="10.42578125" style="9" customWidth="1"/>
    <col min="7201" max="7210" width="11" style="9" customWidth="1"/>
    <col min="7211" max="7211" width="9.140625" style="9" customWidth="1"/>
    <col min="7212" max="7212" width="6.85546875" style="9" customWidth="1"/>
    <col min="7213" max="7213" width="15" style="9" bestFit="1" customWidth="1"/>
    <col min="7214" max="7438" width="9.140625" style="9"/>
    <col min="7439" max="7439" width="4" style="9" customWidth="1"/>
    <col min="7440" max="7440" width="24.42578125" style="9" customWidth="1"/>
    <col min="7441" max="7441" width="19.85546875" style="9" customWidth="1"/>
    <col min="7442" max="7442" width="9.28515625" style="9" customWidth="1"/>
    <col min="7443" max="7443" width="10" style="9" customWidth="1"/>
    <col min="7444" max="7444" width="8.42578125" style="9" customWidth="1"/>
    <col min="7445" max="7445" width="12.28515625" style="9" customWidth="1"/>
    <col min="7446" max="7446" width="7.5703125" style="9" customWidth="1"/>
    <col min="7447" max="7447" width="7.85546875" style="9" customWidth="1"/>
    <col min="7448" max="7448" width="8.28515625" style="9" customWidth="1"/>
    <col min="7449" max="7449" width="9.140625" style="9"/>
    <col min="7450" max="7452" width="7.5703125" style="9" customWidth="1"/>
    <col min="7453" max="7453" width="10.28515625" style="9" customWidth="1"/>
    <col min="7454" max="7454" width="10.5703125" style="9" customWidth="1"/>
    <col min="7455" max="7455" width="11.140625" style="9" customWidth="1"/>
    <col min="7456" max="7456" width="10.42578125" style="9" customWidth="1"/>
    <col min="7457" max="7466" width="11" style="9" customWidth="1"/>
    <col min="7467" max="7467" width="9.140625" style="9" customWidth="1"/>
    <col min="7468" max="7468" width="6.85546875" style="9" customWidth="1"/>
    <col min="7469" max="7469" width="15" style="9" bestFit="1" customWidth="1"/>
    <col min="7470" max="7694" width="9.140625" style="9"/>
    <col min="7695" max="7695" width="4" style="9" customWidth="1"/>
    <col min="7696" max="7696" width="24.42578125" style="9" customWidth="1"/>
    <col min="7697" max="7697" width="19.85546875" style="9" customWidth="1"/>
    <col min="7698" max="7698" width="9.28515625" style="9" customWidth="1"/>
    <col min="7699" max="7699" width="10" style="9" customWidth="1"/>
    <col min="7700" max="7700" width="8.42578125" style="9" customWidth="1"/>
    <col min="7701" max="7701" width="12.28515625" style="9" customWidth="1"/>
    <col min="7702" max="7702" width="7.5703125" style="9" customWidth="1"/>
    <col min="7703" max="7703" width="7.85546875" style="9" customWidth="1"/>
    <col min="7704" max="7704" width="8.28515625" style="9" customWidth="1"/>
    <col min="7705" max="7705" width="9.140625" style="9"/>
    <col min="7706" max="7708" width="7.5703125" style="9" customWidth="1"/>
    <col min="7709" max="7709" width="10.28515625" style="9" customWidth="1"/>
    <col min="7710" max="7710" width="10.5703125" style="9" customWidth="1"/>
    <col min="7711" max="7711" width="11.140625" style="9" customWidth="1"/>
    <col min="7712" max="7712" width="10.42578125" style="9" customWidth="1"/>
    <col min="7713" max="7722" width="11" style="9" customWidth="1"/>
    <col min="7723" max="7723" width="9.140625" style="9" customWidth="1"/>
    <col min="7724" max="7724" width="6.85546875" style="9" customWidth="1"/>
    <col min="7725" max="7725" width="15" style="9" bestFit="1" customWidth="1"/>
    <col min="7726" max="7950" width="9.140625" style="9"/>
    <col min="7951" max="7951" width="4" style="9" customWidth="1"/>
    <col min="7952" max="7952" width="24.42578125" style="9" customWidth="1"/>
    <col min="7953" max="7953" width="19.85546875" style="9" customWidth="1"/>
    <col min="7954" max="7954" width="9.28515625" style="9" customWidth="1"/>
    <col min="7955" max="7955" width="10" style="9" customWidth="1"/>
    <col min="7956" max="7956" width="8.42578125" style="9" customWidth="1"/>
    <col min="7957" max="7957" width="12.28515625" style="9" customWidth="1"/>
    <col min="7958" max="7958" width="7.5703125" style="9" customWidth="1"/>
    <col min="7959" max="7959" width="7.85546875" style="9" customWidth="1"/>
    <col min="7960" max="7960" width="8.28515625" style="9" customWidth="1"/>
    <col min="7961" max="7961" width="9.140625" style="9"/>
    <col min="7962" max="7964" width="7.5703125" style="9" customWidth="1"/>
    <col min="7965" max="7965" width="10.28515625" style="9" customWidth="1"/>
    <col min="7966" max="7966" width="10.5703125" style="9" customWidth="1"/>
    <col min="7967" max="7967" width="11.140625" style="9" customWidth="1"/>
    <col min="7968" max="7968" width="10.42578125" style="9" customWidth="1"/>
    <col min="7969" max="7978" width="11" style="9" customWidth="1"/>
    <col min="7979" max="7979" width="9.140625" style="9" customWidth="1"/>
    <col min="7980" max="7980" width="6.85546875" style="9" customWidth="1"/>
    <col min="7981" max="7981" width="15" style="9" bestFit="1" customWidth="1"/>
    <col min="7982" max="8206" width="9.140625" style="9"/>
    <col min="8207" max="8207" width="4" style="9" customWidth="1"/>
    <col min="8208" max="8208" width="24.42578125" style="9" customWidth="1"/>
    <col min="8209" max="8209" width="19.85546875" style="9" customWidth="1"/>
    <col min="8210" max="8210" width="9.28515625" style="9" customWidth="1"/>
    <col min="8211" max="8211" width="10" style="9" customWidth="1"/>
    <col min="8212" max="8212" width="8.42578125" style="9" customWidth="1"/>
    <col min="8213" max="8213" width="12.28515625" style="9" customWidth="1"/>
    <col min="8214" max="8214" width="7.5703125" style="9" customWidth="1"/>
    <col min="8215" max="8215" width="7.85546875" style="9" customWidth="1"/>
    <col min="8216" max="8216" width="8.28515625" style="9" customWidth="1"/>
    <col min="8217" max="8217" width="9.140625" style="9"/>
    <col min="8218" max="8220" width="7.5703125" style="9" customWidth="1"/>
    <col min="8221" max="8221" width="10.28515625" style="9" customWidth="1"/>
    <col min="8222" max="8222" width="10.5703125" style="9" customWidth="1"/>
    <col min="8223" max="8223" width="11.140625" style="9" customWidth="1"/>
    <col min="8224" max="8224" width="10.42578125" style="9" customWidth="1"/>
    <col min="8225" max="8234" width="11" style="9" customWidth="1"/>
    <col min="8235" max="8235" width="9.140625" style="9" customWidth="1"/>
    <col min="8236" max="8236" width="6.85546875" style="9" customWidth="1"/>
    <col min="8237" max="8237" width="15" style="9" bestFit="1" customWidth="1"/>
    <col min="8238" max="8462" width="9.140625" style="9"/>
    <col min="8463" max="8463" width="4" style="9" customWidth="1"/>
    <col min="8464" max="8464" width="24.42578125" style="9" customWidth="1"/>
    <col min="8465" max="8465" width="19.85546875" style="9" customWidth="1"/>
    <col min="8466" max="8466" width="9.28515625" style="9" customWidth="1"/>
    <col min="8467" max="8467" width="10" style="9" customWidth="1"/>
    <col min="8468" max="8468" width="8.42578125" style="9" customWidth="1"/>
    <col min="8469" max="8469" width="12.28515625" style="9" customWidth="1"/>
    <col min="8470" max="8470" width="7.5703125" style="9" customWidth="1"/>
    <col min="8471" max="8471" width="7.85546875" style="9" customWidth="1"/>
    <col min="8472" max="8472" width="8.28515625" style="9" customWidth="1"/>
    <col min="8473" max="8473" width="9.140625" style="9"/>
    <col min="8474" max="8476" width="7.5703125" style="9" customWidth="1"/>
    <col min="8477" max="8477" width="10.28515625" style="9" customWidth="1"/>
    <col min="8478" max="8478" width="10.5703125" style="9" customWidth="1"/>
    <col min="8479" max="8479" width="11.140625" style="9" customWidth="1"/>
    <col min="8480" max="8480" width="10.42578125" style="9" customWidth="1"/>
    <col min="8481" max="8490" width="11" style="9" customWidth="1"/>
    <col min="8491" max="8491" width="9.140625" style="9" customWidth="1"/>
    <col min="8492" max="8492" width="6.85546875" style="9" customWidth="1"/>
    <col min="8493" max="8493" width="15" style="9" bestFit="1" customWidth="1"/>
    <col min="8494" max="8718" width="9.140625" style="9"/>
    <col min="8719" max="8719" width="4" style="9" customWidth="1"/>
    <col min="8720" max="8720" width="24.42578125" style="9" customWidth="1"/>
    <col min="8721" max="8721" width="19.85546875" style="9" customWidth="1"/>
    <col min="8722" max="8722" width="9.28515625" style="9" customWidth="1"/>
    <col min="8723" max="8723" width="10" style="9" customWidth="1"/>
    <col min="8724" max="8724" width="8.42578125" style="9" customWidth="1"/>
    <col min="8725" max="8725" width="12.28515625" style="9" customWidth="1"/>
    <col min="8726" max="8726" width="7.5703125" style="9" customWidth="1"/>
    <col min="8727" max="8727" width="7.85546875" style="9" customWidth="1"/>
    <col min="8728" max="8728" width="8.28515625" style="9" customWidth="1"/>
    <col min="8729" max="8729" width="9.140625" style="9"/>
    <col min="8730" max="8732" width="7.5703125" style="9" customWidth="1"/>
    <col min="8733" max="8733" width="10.28515625" style="9" customWidth="1"/>
    <col min="8734" max="8734" width="10.5703125" style="9" customWidth="1"/>
    <col min="8735" max="8735" width="11.140625" style="9" customWidth="1"/>
    <col min="8736" max="8736" width="10.42578125" style="9" customWidth="1"/>
    <col min="8737" max="8746" width="11" style="9" customWidth="1"/>
    <col min="8747" max="8747" width="9.140625" style="9" customWidth="1"/>
    <col min="8748" max="8748" width="6.85546875" style="9" customWidth="1"/>
    <col min="8749" max="8749" width="15" style="9" bestFit="1" customWidth="1"/>
    <col min="8750" max="8974" width="9.140625" style="9"/>
    <col min="8975" max="8975" width="4" style="9" customWidth="1"/>
    <col min="8976" max="8976" width="24.42578125" style="9" customWidth="1"/>
    <col min="8977" max="8977" width="19.85546875" style="9" customWidth="1"/>
    <col min="8978" max="8978" width="9.28515625" style="9" customWidth="1"/>
    <col min="8979" max="8979" width="10" style="9" customWidth="1"/>
    <col min="8980" max="8980" width="8.42578125" style="9" customWidth="1"/>
    <col min="8981" max="8981" width="12.28515625" style="9" customWidth="1"/>
    <col min="8982" max="8982" width="7.5703125" style="9" customWidth="1"/>
    <col min="8983" max="8983" width="7.85546875" style="9" customWidth="1"/>
    <col min="8984" max="8984" width="8.28515625" style="9" customWidth="1"/>
    <col min="8985" max="8985" width="9.140625" style="9"/>
    <col min="8986" max="8988" width="7.5703125" style="9" customWidth="1"/>
    <col min="8989" max="8989" width="10.28515625" style="9" customWidth="1"/>
    <col min="8990" max="8990" width="10.5703125" style="9" customWidth="1"/>
    <col min="8991" max="8991" width="11.140625" style="9" customWidth="1"/>
    <col min="8992" max="8992" width="10.42578125" style="9" customWidth="1"/>
    <col min="8993" max="9002" width="11" style="9" customWidth="1"/>
    <col min="9003" max="9003" width="9.140625" style="9" customWidth="1"/>
    <col min="9004" max="9004" width="6.85546875" style="9" customWidth="1"/>
    <col min="9005" max="9005" width="15" style="9" bestFit="1" customWidth="1"/>
    <col min="9006" max="9230" width="9.140625" style="9"/>
    <col min="9231" max="9231" width="4" style="9" customWidth="1"/>
    <col min="9232" max="9232" width="24.42578125" style="9" customWidth="1"/>
    <col min="9233" max="9233" width="19.85546875" style="9" customWidth="1"/>
    <col min="9234" max="9234" width="9.28515625" style="9" customWidth="1"/>
    <col min="9235" max="9235" width="10" style="9" customWidth="1"/>
    <col min="9236" max="9236" width="8.42578125" style="9" customWidth="1"/>
    <col min="9237" max="9237" width="12.28515625" style="9" customWidth="1"/>
    <col min="9238" max="9238" width="7.5703125" style="9" customWidth="1"/>
    <col min="9239" max="9239" width="7.85546875" style="9" customWidth="1"/>
    <col min="9240" max="9240" width="8.28515625" style="9" customWidth="1"/>
    <col min="9241" max="9241" width="9.140625" style="9"/>
    <col min="9242" max="9244" width="7.5703125" style="9" customWidth="1"/>
    <col min="9245" max="9245" width="10.28515625" style="9" customWidth="1"/>
    <col min="9246" max="9246" width="10.5703125" style="9" customWidth="1"/>
    <col min="9247" max="9247" width="11.140625" style="9" customWidth="1"/>
    <col min="9248" max="9248" width="10.42578125" style="9" customWidth="1"/>
    <col min="9249" max="9258" width="11" style="9" customWidth="1"/>
    <col min="9259" max="9259" width="9.140625" style="9" customWidth="1"/>
    <col min="9260" max="9260" width="6.85546875" style="9" customWidth="1"/>
    <col min="9261" max="9261" width="15" style="9" bestFit="1" customWidth="1"/>
    <col min="9262" max="9486" width="9.140625" style="9"/>
    <col min="9487" max="9487" width="4" style="9" customWidth="1"/>
    <col min="9488" max="9488" width="24.42578125" style="9" customWidth="1"/>
    <col min="9489" max="9489" width="19.85546875" style="9" customWidth="1"/>
    <col min="9490" max="9490" width="9.28515625" style="9" customWidth="1"/>
    <col min="9491" max="9491" width="10" style="9" customWidth="1"/>
    <col min="9492" max="9492" width="8.42578125" style="9" customWidth="1"/>
    <col min="9493" max="9493" width="12.28515625" style="9" customWidth="1"/>
    <col min="9494" max="9494" width="7.5703125" style="9" customWidth="1"/>
    <col min="9495" max="9495" width="7.85546875" style="9" customWidth="1"/>
    <col min="9496" max="9496" width="8.28515625" style="9" customWidth="1"/>
    <col min="9497" max="9497" width="9.140625" style="9"/>
    <col min="9498" max="9500" width="7.5703125" style="9" customWidth="1"/>
    <col min="9501" max="9501" width="10.28515625" style="9" customWidth="1"/>
    <col min="9502" max="9502" width="10.5703125" style="9" customWidth="1"/>
    <col min="9503" max="9503" width="11.140625" style="9" customWidth="1"/>
    <col min="9504" max="9504" width="10.42578125" style="9" customWidth="1"/>
    <col min="9505" max="9514" width="11" style="9" customWidth="1"/>
    <col min="9515" max="9515" width="9.140625" style="9" customWidth="1"/>
    <col min="9516" max="9516" width="6.85546875" style="9" customWidth="1"/>
    <col min="9517" max="9517" width="15" style="9" bestFit="1" customWidth="1"/>
    <col min="9518" max="9742" width="9.140625" style="9"/>
    <col min="9743" max="9743" width="4" style="9" customWidth="1"/>
    <col min="9744" max="9744" width="24.42578125" style="9" customWidth="1"/>
    <col min="9745" max="9745" width="19.85546875" style="9" customWidth="1"/>
    <col min="9746" max="9746" width="9.28515625" style="9" customWidth="1"/>
    <col min="9747" max="9747" width="10" style="9" customWidth="1"/>
    <col min="9748" max="9748" width="8.42578125" style="9" customWidth="1"/>
    <col min="9749" max="9749" width="12.28515625" style="9" customWidth="1"/>
    <col min="9750" max="9750" width="7.5703125" style="9" customWidth="1"/>
    <col min="9751" max="9751" width="7.85546875" style="9" customWidth="1"/>
    <col min="9752" max="9752" width="8.28515625" style="9" customWidth="1"/>
    <col min="9753" max="9753" width="9.140625" style="9"/>
    <col min="9754" max="9756" width="7.5703125" style="9" customWidth="1"/>
    <col min="9757" max="9757" width="10.28515625" style="9" customWidth="1"/>
    <col min="9758" max="9758" width="10.5703125" style="9" customWidth="1"/>
    <col min="9759" max="9759" width="11.140625" style="9" customWidth="1"/>
    <col min="9760" max="9760" width="10.42578125" style="9" customWidth="1"/>
    <col min="9761" max="9770" width="11" style="9" customWidth="1"/>
    <col min="9771" max="9771" width="9.140625" style="9" customWidth="1"/>
    <col min="9772" max="9772" width="6.85546875" style="9" customWidth="1"/>
    <col min="9773" max="9773" width="15" style="9" bestFit="1" customWidth="1"/>
    <col min="9774" max="9998" width="9.140625" style="9"/>
    <col min="9999" max="9999" width="4" style="9" customWidth="1"/>
    <col min="10000" max="10000" width="24.42578125" style="9" customWidth="1"/>
    <col min="10001" max="10001" width="19.85546875" style="9" customWidth="1"/>
    <col min="10002" max="10002" width="9.28515625" style="9" customWidth="1"/>
    <col min="10003" max="10003" width="10" style="9" customWidth="1"/>
    <col min="10004" max="10004" width="8.42578125" style="9" customWidth="1"/>
    <col min="10005" max="10005" width="12.28515625" style="9" customWidth="1"/>
    <col min="10006" max="10006" width="7.5703125" style="9" customWidth="1"/>
    <col min="10007" max="10007" width="7.85546875" style="9" customWidth="1"/>
    <col min="10008" max="10008" width="8.28515625" style="9" customWidth="1"/>
    <col min="10009" max="10009" width="9.140625" style="9"/>
    <col min="10010" max="10012" width="7.5703125" style="9" customWidth="1"/>
    <col min="10013" max="10013" width="10.28515625" style="9" customWidth="1"/>
    <col min="10014" max="10014" width="10.5703125" style="9" customWidth="1"/>
    <col min="10015" max="10015" width="11.140625" style="9" customWidth="1"/>
    <col min="10016" max="10016" width="10.42578125" style="9" customWidth="1"/>
    <col min="10017" max="10026" width="11" style="9" customWidth="1"/>
    <col min="10027" max="10027" width="9.140625" style="9" customWidth="1"/>
    <col min="10028" max="10028" width="6.85546875" style="9" customWidth="1"/>
    <col min="10029" max="10029" width="15" style="9" bestFit="1" customWidth="1"/>
    <col min="10030" max="10254" width="9.140625" style="9"/>
    <col min="10255" max="10255" width="4" style="9" customWidth="1"/>
    <col min="10256" max="10256" width="24.42578125" style="9" customWidth="1"/>
    <col min="10257" max="10257" width="19.85546875" style="9" customWidth="1"/>
    <col min="10258" max="10258" width="9.28515625" style="9" customWidth="1"/>
    <col min="10259" max="10259" width="10" style="9" customWidth="1"/>
    <col min="10260" max="10260" width="8.42578125" style="9" customWidth="1"/>
    <col min="10261" max="10261" width="12.28515625" style="9" customWidth="1"/>
    <col min="10262" max="10262" width="7.5703125" style="9" customWidth="1"/>
    <col min="10263" max="10263" width="7.85546875" style="9" customWidth="1"/>
    <col min="10264" max="10264" width="8.28515625" style="9" customWidth="1"/>
    <col min="10265" max="10265" width="9.140625" style="9"/>
    <col min="10266" max="10268" width="7.5703125" style="9" customWidth="1"/>
    <col min="10269" max="10269" width="10.28515625" style="9" customWidth="1"/>
    <col min="10270" max="10270" width="10.5703125" style="9" customWidth="1"/>
    <col min="10271" max="10271" width="11.140625" style="9" customWidth="1"/>
    <col min="10272" max="10272" width="10.42578125" style="9" customWidth="1"/>
    <col min="10273" max="10282" width="11" style="9" customWidth="1"/>
    <col min="10283" max="10283" width="9.140625" style="9" customWidth="1"/>
    <col min="10284" max="10284" width="6.85546875" style="9" customWidth="1"/>
    <col min="10285" max="10285" width="15" style="9" bestFit="1" customWidth="1"/>
    <col min="10286" max="10510" width="9.140625" style="9"/>
    <col min="10511" max="10511" width="4" style="9" customWidth="1"/>
    <col min="10512" max="10512" width="24.42578125" style="9" customWidth="1"/>
    <col min="10513" max="10513" width="19.85546875" style="9" customWidth="1"/>
    <col min="10514" max="10514" width="9.28515625" style="9" customWidth="1"/>
    <col min="10515" max="10515" width="10" style="9" customWidth="1"/>
    <col min="10516" max="10516" width="8.42578125" style="9" customWidth="1"/>
    <col min="10517" max="10517" width="12.28515625" style="9" customWidth="1"/>
    <col min="10518" max="10518" width="7.5703125" style="9" customWidth="1"/>
    <col min="10519" max="10519" width="7.85546875" style="9" customWidth="1"/>
    <col min="10520" max="10520" width="8.28515625" style="9" customWidth="1"/>
    <col min="10521" max="10521" width="9.140625" style="9"/>
    <col min="10522" max="10524" width="7.5703125" style="9" customWidth="1"/>
    <col min="10525" max="10525" width="10.28515625" style="9" customWidth="1"/>
    <col min="10526" max="10526" width="10.5703125" style="9" customWidth="1"/>
    <col min="10527" max="10527" width="11.140625" style="9" customWidth="1"/>
    <col min="10528" max="10528" width="10.42578125" style="9" customWidth="1"/>
    <col min="10529" max="10538" width="11" style="9" customWidth="1"/>
    <col min="10539" max="10539" width="9.140625" style="9" customWidth="1"/>
    <col min="10540" max="10540" width="6.85546875" style="9" customWidth="1"/>
    <col min="10541" max="10541" width="15" style="9" bestFit="1" customWidth="1"/>
    <col min="10542" max="10766" width="9.140625" style="9"/>
    <col min="10767" max="10767" width="4" style="9" customWidth="1"/>
    <col min="10768" max="10768" width="24.42578125" style="9" customWidth="1"/>
    <col min="10769" max="10769" width="19.85546875" style="9" customWidth="1"/>
    <col min="10770" max="10770" width="9.28515625" style="9" customWidth="1"/>
    <col min="10771" max="10771" width="10" style="9" customWidth="1"/>
    <col min="10772" max="10772" width="8.42578125" style="9" customWidth="1"/>
    <col min="10773" max="10773" width="12.28515625" style="9" customWidth="1"/>
    <col min="10774" max="10774" width="7.5703125" style="9" customWidth="1"/>
    <col min="10775" max="10775" width="7.85546875" style="9" customWidth="1"/>
    <col min="10776" max="10776" width="8.28515625" style="9" customWidth="1"/>
    <col min="10777" max="10777" width="9.140625" style="9"/>
    <col min="10778" max="10780" width="7.5703125" style="9" customWidth="1"/>
    <col min="10781" max="10781" width="10.28515625" style="9" customWidth="1"/>
    <col min="10782" max="10782" width="10.5703125" style="9" customWidth="1"/>
    <col min="10783" max="10783" width="11.140625" style="9" customWidth="1"/>
    <col min="10784" max="10784" width="10.42578125" style="9" customWidth="1"/>
    <col min="10785" max="10794" width="11" style="9" customWidth="1"/>
    <col min="10795" max="10795" width="9.140625" style="9" customWidth="1"/>
    <col min="10796" max="10796" width="6.85546875" style="9" customWidth="1"/>
    <col min="10797" max="10797" width="15" style="9" bestFit="1" customWidth="1"/>
    <col min="10798" max="11022" width="9.140625" style="9"/>
    <col min="11023" max="11023" width="4" style="9" customWidth="1"/>
    <col min="11024" max="11024" width="24.42578125" style="9" customWidth="1"/>
    <col min="11025" max="11025" width="19.85546875" style="9" customWidth="1"/>
    <col min="11026" max="11026" width="9.28515625" style="9" customWidth="1"/>
    <col min="11027" max="11027" width="10" style="9" customWidth="1"/>
    <col min="11028" max="11028" width="8.42578125" style="9" customWidth="1"/>
    <col min="11029" max="11029" width="12.28515625" style="9" customWidth="1"/>
    <col min="11030" max="11030" width="7.5703125" style="9" customWidth="1"/>
    <col min="11031" max="11031" width="7.85546875" style="9" customWidth="1"/>
    <col min="11032" max="11032" width="8.28515625" style="9" customWidth="1"/>
    <col min="11033" max="11033" width="9.140625" style="9"/>
    <col min="11034" max="11036" width="7.5703125" style="9" customWidth="1"/>
    <col min="11037" max="11037" width="10.28515625" style="9" customWidth="1"/>
    <col min="11038" max="11038" width="10.5703125" style="9" customWidth="1"/>
    <col min="11039" max="11039" width="11.140625" style="9" customWidth="1"/>
    <col min="11040" max="11040" width="10.42578125" style="9" customWidth="1"/>
    <col min="11041" max="11050" width="11" style="9" customWidth="1"/>
    <col min="11051" max="11051" width="9.140625" style="9" customWidth="1"/>
    <col min="11052" max="11052" width="6.85546875" style="9" customWidth="1"/>
    <col min="11053" max="11053" width="15" style="9" bestFit="1" customWidth="1"/>
    <col min="11054" max="11278" width="9.140625" style="9"/>
    <col min="11279" max="11279" width="4" style="9" customWidth="1"/>
    <col min="11280" max="11280" width="24.42578125" style="9" customWidth="1"/>
    <col min="11281" max="11281" width="19.85546875" style="9" customWidth="1"/>
    <col min="11282" max="11282" width="9.28515625" style="9" customWidth="1"/>
    <col min="11283" max="11283" width="10" style="9" customWidth="1"/>
    <col min="11284" max="11284" width="8.42578125" style="9" customWidth="1"/>
    <col min="11285" max="11285" width="12.28515625" style="9" customWidth="1"/>
    <col min="11286" max="11286" width="7.5703125" style="9" customWidth="1"/>
    <col min="11287" max="11287" width="7.85546875" style="9" customWidth="1"/>
    <col min="11288" max="11288" width="8.28515625" style="9" customWidth="1"/>
    <col min="11289" max="11289" width="9.140625" style="9"/>
    <col min="11290" max="11292" width="7.5703125" style="9" customWidth="1"/>
    <col min="11293" max="11293" width="10.28515625" style="9" customWidth="1"/>
    <col min="11294" max="11294" width="10.5703125" style="9" customWidth="1"/>
    <col min="11295" max="11295" width="11.140625" style="9" customWidth="1"/>
    <col min="11296" max="11296" width="10.42578125" style="9" customWidth="1"/>
    <col min="11297" max="11306" width="11" style="9" customWidth="1"/>
    <col min="11307" max="11307" width="9.140625" style="9" customWidth="1"/>
    <col min="11308" max="11308" width="6.85546875" style="9" customWidth="1"/>
    <col min="11309" max="11309" width="15" style="9" bestFit="1" customWidth="1"/>
    <col min="11310" max="11534" width="9.140625" style="9"/>
    <col min="11535" max="11535" width="4" style="9" customWidth="1"/>
    <col min="11536" max="11536" width="24.42578125" style="9" customWidth="1"/>
    <col min="11537" max="11537" width="19.85546875" style="9" customWidth="1"/>
    <col min="11538" max="11538" width="9.28515625" style="9" customWidth="1"/>
    <col min="11539" max="11539" width="10" style="9" customWidth="1"/>
    <col min="11540" max="11540" width="8.42578125" style="9" customWidth="1"/>
    <col min="11541" max="11541" width="12.28515625" style="9" customWidth="1"/>
    <col min="11542" max="11542" width="7.5703125" style="9" customWidth="1"/>
    <col min="11543" max="11543" width="7.85546875" style="9" customWidth="1"/>
    <col min="11544" max="11544" width="8.28515625" style="9" customWidth="1"/>
    <col min="11545" max="11545" width="9.140625" style="9"/>
    <col min="11546" max="11548" width="7.5703125" style="9" customWidth="1"/>
    <col min="11549" max="11549" width="10.28515625" style="9" customWidth="1"/>
    <col min="11550" max="11550" width="10.5703125" style="9" customWidth="1"/>
    <col min="11551" max="11551" width="11.140625" style="9" customWidth="1"/>
    <col min="11552" max="11552" width="10.42578125" style="9" customWidth="1"/>
    <col min="11553" max="11562" width="11" style="9" customWidth="1"/>
    <col min="11563" max="11563" width="9.140625" style="9" customWidth="1"/>
    <col min="11564" max="11564" width="6.85546875" style="9" customWidth="1"/>
    <col min="11565" max="11565" width="15" style="9" bestFit="1" customWidth="1"/>
    <col min="11566" max="11790" width="9.140625" style="9"/>
    <col min="11791" max="11791" width="4" style="9" customWidth="1"/>
    <col min="11792" max="11792" width="24.42578125" style="9" customWidth="1"/>
    <col min="11793" max="11793" width="19.85546875" style="9" customWidth="1"/>
    <col min="11794" max="11794" width="9.28515625" style="9" customWidth="1"/>
    <col min="11795" max="11795" width="10" style="9" customWidth="1"/>
    <col min="11796" max="11796" width="8.42578125" style="9" customWidth="1"/>
    <col min="11797" max="11797" width="12.28515625" style="9" customWidth="1"/>
    <col min="11798" max="11798" width="7.5703125" style="9" customWidth="1"/>
    <col min="11799" max="11799" width="7.85546875" style="9" customWidth="1"/>
    <col min="11800" max="11800" width="8.28515625" style="9" customWidth="1"/>
    <col min="11801" max="11801" width="9.140625" style="9"/>
    <col min="11802" max="11804" width="7.5703125" style="9" customWidth="1"/>
    <col min="11805" max="11805" width="10.28515625" style="9" customWidth="1"/>
    <col min="11806" max="11806" width="10.5703125" style="9" customWidth="1"/>
    <col min="11807" max="11807" width="11.140625" style="9" customWidth="1"/>
    <col min="11808" max="11808" width="10.42578125" style="9" customWidth="1"/>
    <col min="11809" max="11818" width="11" style="9" customWidth="1"/>
    <col min="11819" max="11819" width="9.140625" style="9" customWidth="1"/>
    <col min="11820" max="11820" width="6.85546875" style="9" customWidth="1"/>
    <col min="11821" max="11821" width="15" style="9" bestFit="1" customWidth="1"/>
    <col min="11822" max="12046" width="9.140625" style="9"/>
    <col min="12047" max="12047" width="4" style="9" customWidth="1"/>
    <col min="12048" max="12048" width="24.42578125" style="9" customWidth="1"/>
    <col min="12049" max="12049" width="19.85546875" style="9" customWidth="1"/>
    <col min="12050" max="12050" width="9.28515625" style="9" customWidth="1"/>
    <col min="12051" max="12051" width="10" style="9" customWidth="1"/>
    <col min="12052" max="12052" width="8.42578125" style="9" customWidth="1"/>
    <col min="12053" max="12053" width="12.28515625" style="9" customWidth="1"/>
    <col min="12054" max="12054" width="7.5703125" style="9" customWidth="1"/>
    <col min="12055" max="12055" width="7.85546875" style="9" customWidth="1"/>
    <col min="12056" max="12056" width="8.28515625" style="9" customWidth="1"/>
    <col min="12057" max="12057" width="9.140625" style="9"/>
    <col min="12058" max="12060" width="7.5703125" style="9" customWidth="1"/>
    <col min="12061" max="12061" width="10.28515625" style="9" customWidth="1"/>
    <col min="12062" max="12062" width="10.5703125" style="9" customWidth="1"/>
    <col min="12063" max="12063" width="11.140625" style="9" customWidth="1"/>
    <col min="12064" max="12064" width="10.42578125" style="9" customWidth="1"/>
    <col min="12065" max="12074" width="11" style="9" customWidth="1"/>
    <col min="12075" max="12075" width="9.140625" style="9" customWidth="1"/>
    <col min="12076" max="12076" width="6.85546875" style="9" customWidth="1"/>
    <col min="12077" max="12077" width="15" style="9" bestFit="1" customWidth="1"/>
    <col min="12078" max="12302" width="9.140625" style="9"/>
    <col min="12303" max="12303" width="4" style="9" customWidth="1"/>
    <col min="12304" max="12304" width="24.42578125" style="9" customWidth="1"/>
    <col min="12305" max="12305" width="19.85546875" style="9" customWidth="1"/>
    <col min="12306" max="12306" width="9.28515625" style="9" customWidth="1"/>
    <col min="12307" max="12307" width="10" style="9" customWidth="1"/>
    <col min="12308" max="12308" width="8.42578125" style="9" customWidth="1"/>
    <col min="12309" max="12309" width="12.28515625" style="9" customWidth="1"/>
    <col min="12310" max="12310" width="7.5703125" style="9" customWidth="1"/>
    <col min="12311" max="12311" width="7.85546875" style="9" customWidth="1"/>
    <col min="12312" max="12312" width="8.28515625" style="9" customWidth="1"/>
    <col min="12313" max="12313" width="9.140625" style="9"/>
    <col min="12314" max="12316" width="7.5703125" style="9" customWidth="1"/>
    <col min="12317" max="12317" width="10.28515625" style="9" customWidth="1"/>
    <col min="12318" max="12318" width="10.5703125" style="9" customWidth="1"/>
    <col min="12319" max="12319" width="11.140625" style="9" customWidth="1"/>
    <col min="12320" max="12320" width="10.42578125" style="9" customWidth="1"/>
    <col min="12321" max="12330" width="11" style="9" customWidth="1"/>
    <col min="12331" max="12331" width="9.140625" style="9" customWidth="1"/>
    <col min="12332" max="12332" width="6.85546875" style="9" customWidth="1"/>
    <col min="12333" max="12333" width="15" style="9" bestFit="1" customWidth="1"/>
    <col min="12334" max="12558" width="9.140625" style="9"/>
    <col min="12559" max="12559" width="4" style="9" customWidth="1"/>
    <col min="12560" max="12560" width="24.42578125" style="9" customWidth="1"/>
    <col min="12561" max="12561" width="19.85546875" style="9" customWidth="1"/>
    <col min="12562" max="12562" width="9.28515625" style="9" customWidth="1"/>
    <col min="12563" max="12563" width="10" style="9" customWidth="1"/>
    <col min="12564" max="12564" width="8.42578125" style="9" customWidth="1"/>
    <col min="12565" max="12565" width="12.28515625" style="9" customWidth="1"/>
    <col min="12566" max="12566" width="7.5703125" style="9" customWidth="1"/>
    <col min="12567" max="12567" width="7.85546875" style="9" customWidth="1"/>
    <col min="12568" max="12568" width="8.28515625" style="9" customWidth="1"/>
    <col min="12569" max="12569" width="9.140625" style="9"/>
    <col min="12570" max="12572" width="7.5703125" style="9" customWidth="1"/>
    <col min="12573" max="12573" width="10.28515625" style="9" customWidth="1"/>
    <col min="12574" max="12574" width="10.5703125" style="9" customWidth="1"/>
    <col min="12575" max="12575" width="11.140625" style="9" customWidth="1"/>
    <col min="12576" max="12576" width="10.42578125" style="9" customWidth="1"/>
    <col min="12577" max="12586" width="11" style="9" customWidth="1"/>
    <col min="12587" max="12587" width="9.140625" style="9" customWidth="1"/>
    <col min="12588" max="12588" width="6.85546875" style="9" customWidth="1"/>
    <col min="12589" max="12589" width="15" style="9" bestFit="1" customWidth="1"/>
    <col min="12590" max="12814" width="9.140625" style="9"/>
    <col min="12815" max="12815" width="4" style="9" customWidth="1"/>
    <col min="12816" max="12816" width="24.42578125" style="9" customWidth="1"/>
    <col min="12817" max="12817" width="19.85546875" style="9" customWidth="1"/>
    <col min="12818" max="12818" width="9.28515625" style="9" customWidth="1"/>
    <col min="12819" max="12819" width="10" style="9" customWidth="1"/>
    <col min="12820" max="12820" width="8.42578125" style="9" customWidth="1"/>
    <col min="12821" max="12821" width="12.28515625" style="9" customWidth="1"/>
    <col min="12822" max="12822" width="7.5703125" style="9" customWidth="1"/>
    <col min="12823" max="12823" width="7.85546875" style="9" customWidth="1"/>
    <col min="12824" max="12824" width="8.28515625" style="9" customWidth="1"/>
    <col min="12825" max="12825" width="9.140625" style="9"/>
    <col min="12826" max="12828" width="7.5703125" style="9" customWidth="1"/>
    <col min="12829" max="12829" width="10.28515625" style="9" customWidth="1"/>
    <col min="12830" max="12830" width="10.5703125" style="9" customWidth="1"/>
    <col min="12831" max="12831" width="11.140625" style="9" customWidth="1"/>
    <col min="12832" max="12832" width="10.42578125" style="9" customWidth="1"/>
    <col min="12833" max="12842" width="11" style="9" customWidth="1"/>
    <col min="12843" max="12843" width="9.140625" style="9" customWidth="1"/>
    <col min="12844" max="12844" width="6.85546875" style="9" customWidth="1"/>
    <col min="12845" max="12845" width="15" style="9" bestFit="1" customWidth="1"/>
    <col min="12846" max="13070" width="9.140625" style="9"/>
    <col min="13071" max="13071" width="4" style="9" customWidth="1"/>
    <col min="13072" max="13072" width="24.42578125" style="9" customWidth="1"/>
    <col min="13073" max="13073" width="19.85546875" style="9" customWidth="1"/>
    <col min="13074" max="13074" width="9.28515625" style="9" customWidth="1"/>
    <col min="13075" max="13075" width="10" style="9" customWidth="1"/>
    <col min="13076" max="13076" width="8.42578125" style="9" customWidth="1"/>
    <col min="13077" max="13077" width="12.28515625" style="9" customWidth="1"/>
    <col min="13078" max="13078" width="7.5703125" style="9" customWidth="1"/>
    <col min="13079" max="13079" width="7.85546875" style="9" customWidth="1"/>
    <col min="13080" max="13080" width="8.28515625" style="9" customWidth="1"/>
    <col min="13081" max="13081" width="9.140625" style="9"/>
    <col min="13082" max="13084" width="7.5703125" style="9" customWidth="1"/>
    <col min="13085" max="13085" width="10.28515625" style="9" customWidth="1"/>
    <col min="13086" max="13086" width="10.5703125" style="9" customWidth="1"/>
    <col min="13087" max="13087" width="11.140625" style="9" customWidth="1"/>
    <col min="13088" max="13088" width="10.42578125" style="9" customWidth="1"/>
    <col min="13089" max="13098" width="11" style="9" customWidth="1"/>
    <col min="13099" max="13099" width="9.140625" style="9" customWidth="1"/>
    <col min="13100" max="13100" width="6.85546875" style="9" customWidth="1"/>
    <col min="13101" max="13101" width="15" style="9" bestFit="1" customWidth="1"/>
    <col min="13102" max="13326" width="9.140625" style="9"/>
    <col min="13327" max="13327" width="4" style="9" customWidth="1"/>
    <col min="13328" max="13328" width="24.42578125" style="9" customWidth="1"/>
    <col min="13329" max="13329" width="19.85546875" style="9" customWidth="1"/>
    <col min="13330" max="13330" width="9.28515625" style="9" customWidth="1"/>
    <col min="13331" max="13331" width="10" style="9" customWidth="1"/>
    <col min="13332" max="13332" width="8.42578125" style="9" customWidth="1"/>
    <col min="13333" max="13333" width="12.28515625" style="9" customWidth="1"/>
    <col min="13334" max="13334" width="7.5703125" style="9" customWidth="1"/>
    <col min="13335" max="13335" width="7.85546875" style="9" customWidth="1"/>
    <col min="13336" max="13336" width="8.28515625" style="9" customWidth="1"/>
    <col min="13337" max="13337" width="9.140625" style="9"/>
    <col min="13338" max="13340" width="7.5703125" style="9" customWidth="1"/>
    <col min="13341" max="13341" width="10.28515625" style="9" customWidth="1"/>
    <col min="13342" max="13342" width="10.5703125" style="9" customWidth="1"/>
    <col min="13343" max="13343" width="11.140625" style="9" customWidth="1"/>
    <col min="13344" max="13344" width="10.42578125" style="9" customWidth="1"/>
    <col min="13345" max="13354" width="11" style="9" customWidth="1"/>
    <col min="13355" max="13355" width="9.140625" style="9" customWidth="1"/>
    <col min="13356" max="13356" width="6.85546875" style="9" customWidth="1"/>
    <col min="13357" max="13357" width="15" style="9" bestFit="1" customWidth="1"/>
    <col min="13358" max="13582" width="9.140625" style="9"/>
    <col min="13583" max="13583" width="4" style="9" customWidth="1"/>
    <col min="13584" max="13584" width="24.42578125" style="9" customWidth="1"/>
    <col min="13585" max="13585" width="19.85546875" style="9" customWidth="1"/>
    <col min="13586" max="13586" width="9.28515625" style="9" customWidth="1"/>
    <col min="13587" max="13587" width="10" style="9" customWidth="1"/>
    <col min="13588" max="13588" width="8.42578125" style="9" customWidth="1"/>
    <col min="13589" max="13589" width="12.28515625" style="9" customWidth="1"/>
    <col min="13590" max="13590" width="7.5703125" style="9" customWidth="1"/>
    <col min="13591" max="13591" width="7.85546875" style="9" customWidth="1"/>
    <col min="13592" max="13592" width="8.28515625" style="9" customWidth="1"/>
    <col min="13593" max="13593" width="9.140625" style="9"/>
    <col min="13594" max="13596" width="7.5703125" style="9" customWidth="1"/>
    <col min="13597" max="13597" width="10.28515625" style="9" customWidth="1"/>
    <col min="13598" max="13598" width="10.5703125" style="9" customWidth="1"/>
    <col min="13599" max="13599" width="11.140625" style="9" customWidth="1"/>
    <col min="13600" max="13600" width="10.42578125" style="9" customWidth="1"/>
    <col min="13601" max="13610" width="11" style="9" customWidth="1"/>
    <col min="13611" max="13611" width="9.140625" style="9" customWidth="1"/>
    <col min="13612" max="13612" width="6.85546875" style="9" customWidth="1"/>
    <col min="13613" max="13613" width="15" style="9" bestFit="1" customWidth="1"/>
    <col min="13614" max="13838" width="9.140625" style="9"/>
    <col min="13839" max="13839" width="4" style="9" customWidth="1"/>
    <col min="13840" max="13840" width="24.42578125" style="9" customWidth="1"/>
    <col min="13841" max="13841" width="19.85546875" style="9" customWidth="1"/>
    <col min="13842" max="13842" width="9.28515625" style="9" customWidth="1"/>
    <col min="13843" max="13843" width="10" style="9" customWidth="1"/>
    <col min="13844" max="13844" width="8.42578125" style="9" customWidth="1"/>
    <col min="13845" max="13845" width="12.28515625" style="9" customWidth="1"/>
    <col min="13846" max="13846" width="7.5703125" style="9" customWidth="1"/>
    <col min="13847" max="13847" width="7.85546875" style="9" customWidth="1"/>
    <col min="13848" max="13848" width="8.28515625" style="9" customWidth="1"/>
    <col min="13849" max="13849" width="9.140625" style="9"/>
    <col min="13850" max="13852" width="7.5703125" style="9" customWidth="1"/>
    <col min="13853" max="13853" width="10.28515625" style="9" customWidth="1"/>
    <col min="13854" max="13854" width="10.5703125" style="9" customWidth="1"/>
    <col min="13855" max="13855" width="11.140625" style="9" customWidth="1"/>
    <col min="13856" max="13856" width="10.42578125" style="9" customWidth="1"/>
    <col min="13857" max="13866" width="11" style="9" customWidth="1"/>
    <col min="13867" max="13867" width="9.140625" style="9" customWidth="1"/>
    <col min="13868" max="13868" width="6.85546875" style="9" customWidth="1"/>
    <col min="13869" max="13869" width="15" style="9" bestFit="1" customWidth="1"/>
    <col min="13870" max="14094" width="9.140625" style="9"/>
    <col min="14095" max="14095" width="4" style="9" customWidth="1"/>
    <col min="14096" max="14096" width="24.42578125" style="9" customWidth="1"/>
    <col min="14097" max="14097" width="19.85546875" style="9" customWidth="1"/>
    <col min="14098" max="14098" width="9.28515625" style="9" customWidth="1"/>
    <col min="14099" max="14099" width="10" style="9" customWidth="1"/>
    <col min="14100" max="14100" width="8.42578125" style="9" customWidth="1"/>
    <col min="14101" max="14101" width="12.28515625" style="9" customWidth="1"/>
    <col min="14102" max="14102" width="7.5703125" style="9" customWidth="1"/>
    <col min="14103" max="14103" width="7.85546875" style="9" customWidth="1"/>
    <col min="14104" max="14104" width="8.28515625" style="9" customWidth="1"/>
    <col min="14105" max="14105" width="9.140625" style="9"/>
    <col min="14106" max="14108" width="7.5703125" style="9" customWidth="1"/>
    <col min="14109" max="14109" width="10.28515625" style="9" customWidth="1"/>
    <col min="14110" max="14110" width="10.5703125" style="9" customWidth="1"/>
    <col min="14111" max="14111" width="11.140625" style="9" customWidth="1"/>
    <col min="14112" max="14112" width="10.42578125" style="9" customWidth="1"/>
    <col min="14113" max="14122" width="11" style="9" customWidth="1"/>
    <col min="14123" max="14123" width="9.140625" style="9" customWidth="1"/>
    <col min="14124" max="14124" width="6.85546875" style="9" customWidth="1"/>
    <col min="14125" max="14125" width="15" style="9" bestFit="1" customWidth="1"/>
    <col min="14126" max="14350" width="9.140625" style="9"/>
    <col min="14351" max="14351" width="4" style="9" customWidth="1"/>
    <col min="14352" max="14352" width="24.42578125" style="9" customWidth="1"/>
    <col min="14353" max="14353" width="19.85546875" style="9" customWidth="1"/>
    <col min="14354" max="14354" width="9.28515625" style="9" customWidth="1"/>
    <col min="14355" max="14355" width="10" style="9" customWidth="1"/>
    <col min="14356" max="14356" width="8.42578125" style="9" customWidth="1"/>
    <col min="14357" max="14357" width="12.28515625" style="9" customWidth="1"/>
    <col min="14358" max="14358" width="7.5703125" style="9" customWidth="1"/>
    <col min="14359" max="14359" width="7.85546875" style="9" customWidth="1"/>
    <col min="14360" max="14360" width="8.28515625" style="9" customWidth="1"/>
    <col min="14361" max="14361" width="9.140625" style="9"/>
    <col min="14362" max="14364" width="7.5703125" style="9" customWidth="1"/>
    <col min="14365" max="14365" width="10.28515625" style="9" customWidth="1"/>
    <col min="14366" max="14366" width="10.5703125" style="9" customWidth="1"/>
    <col min="14367" max="14367" width="11.140625" style="9" customWidth="1"/>
    <col min="14368" max="14368" width="10.42578125" style="9" customWidth="1"/>
    <col min="14369" max="14378" width="11" style="9" customWidth="1"/>
    <col min="14379" max="14379" width="9.140625" style="9" customWidth="1"/>
    <col min="14380" max="14380" width="6.85546875" style="9" customWidth="1"/>
    <col min="14381" max="14381" width="15" style="9" bestFit="1" customWidth="1"/>
    <col min="14382" max="14606" width="9.140625" style="9"/>
    <col min="14607" max="14607" width="4" style="9" customWidth="1"/>
    <col min="14608" max="14608" width="24.42578125" style="9" customWidth="1"/>
    <col min="14609" max="14609" width="19.85546875" style="9" customWidth="1"/>
    <col min="14610" max="14610" width="9.28515625" style="9" customWidth="1"/>
    <col min="14611" max="14611" width="10" style="9" customWidth="1"/>
    <col min="14612" max="14612" width="8.42578125" style="9" customWidth="1"/>
    <col min="14613" max="14613" width="12.28515625" style="9" customWidth="1"/>
    <col min="14614" max="14614" width="7.5703125" style="9" customWidth="1"/>
    <col min="14615" max="14615" width="7.85546875" style="9" customWidth="1"/>
    <col min="14616" max="14616" width="8.28515625" style="9" customWidth="1"/>
    <col min="14617" max="14617" width="9.140625" style="9"/>
    <col min="14618" max="14620" width="7.5703125" style="9" customWidth="1"/>
    <col min="14621" max="14621" width="10.28515625" style="9" customWidth="1"/>
    <col min="14622" max="14622" width="10.5703125" style="9" customWidth="1"/>
    <col min="14623" max="14623" width="11.140625" style="9" customWidth="1"/>
    <col min="14624" max="14624" width="10.42578125" style="9" customWidth="1"/>
    <col min="14625" max="14634" width="11" style="9" customWidth="1"/>
    <col min="14635" max="14635" width="9.140625" style="9" customWidth="1"/>
    <col min="14636" max="14636" width="6.85546875" style="9" customWidth="1"/>
    <col min="14637" max="14637" width="15" style="9" bestFit="1" customWidth="1"/>
    <col min="14638" max="14862" width="9.140625" style="9"/>
    <col min="14863" max="14863" width="4" style="9" customWidth="1"/>
    <col min="14864" max="14864" width="24.42578125" style="9" customWidth="1"/>
    <col min="14865" max="14865" width="19.85546875" style="9" customWidth="1"/>
    <col min="14866" max="14866" width="9.28515625" style="9" customWidth="1"/>
    <col min="14867" max="14867" width="10" style="9" customWidth="1"/>
    <col min="14868" max="14868" width="8.42578125" style="9" customWidth="1"/>
    <col min="14869" max="14869" width="12.28515625" style="9" customWidth="1"/>
    <col min="14870" max="14870" width="7.5703125" style="9" customWidth="1"/>
    <col min="14871" max="14871" width="7.85546875" style="9" customWidth="1"/>
    <col min="14872" max="14872" width="8.28515625" style="9" customWidth="1"/>
    <col min="14873" max="14873" width="9.140625" style="9"/>
    <col min="14874" max="14876" width="7.5703125" style="9" customWidth="1"/>
    <col min="14877" max="14877" width="10.28515625" style="9" customWidth="1"/>
    <col min="14878" max="14878" width="10.5703125" style="9" customWidth="1"/>
    <col min="14879" max="14879" width="11.140625" style="9" customWidth="1"/>
    <col min="14880" max="14880" width="10.42578125" style="9" customWidth="1"/>
    <col min="14881" max="14890" width="11" style="9" customWidth="1"/>
    <col min="14891" max="14891" width="9.140625" style="9" customWidth="1"/>
    <col min="14892" max="14892" width="6.85546875" style="9" customWidth="1"/>
    <col min="14893" max="14893" width="15" style="9" bestFit="1" customWidth="1"/>
    <col min="14894" max="15118" width="9.140625" style="9"/>
    <col min="15119" max="15119" width="4" style="9" customWidth="1"/>
    <col min="15120" max="15120" width="24.42578125" style="9" customWidth="1"/>
    <col min="15121" max="15121" width="19.85546875" style="9" customWidth="1"/>
    <col min="15122" max="15122" width="9.28515625" style="9" customWidth="1"/>
    <col min="15123" max="15123" width="10" style="9" customWidth="1"/>
    <col min="15124" max="15124" width="8.42578125" style="9" customWidth="1"/>
    <col min="15125" max="15125" width="12.28515625" style="9" customWidth="1"/>
    <col min="15126" max="15126" width="7.5703125" style="9" customWidth="1"/>
    <col min="15127" max="15127" width="7.85546875" style="9" customWidth="1"/>
    <col min="15128" max="15128" width="8.28515625" style="9" customWidth="1"/>
    <col min="15129" max="15129" width="9.140625" style="9"/>
    <col min="15130" max="15132" width="7.5703125" style="9" customWidth="1"/>
    <col min="15133" max="15133" width="10.28515625" style="9" customWidth="1"/>
    <col min="15134" max="15134" width="10.5703125" style="9" customWidth="1"/>
    <col min="15135" max="15135" width="11.140625" style="9" customWidth="1"/>
    <col min="15136" max="15136" width="10.42578125" style="9" customWidth="1"/>
    <col min="15137" max="15146" width="11" style="9" customWidth="1"/>
    <col min="15147" max="15147" width="9.140625" style="9" customWidth="1"/>
    <col min="15148" max="15148" width="6.85546875" style="9" customWidth="1"/>
    <col min="15149" max="15149" width="15" style="9" bestFit="1" customWidth="1"/>
    <col min="15150" max="15374" width="9.140625" style="9"/>
    <col min="15375" max="15375" width="4" style="9" customWidth="1"/>
    <col min="15376" max="15376" width="24.42578125" style="9" customWidth="1"/>
    <col min="15377" max="15377" width="19.85546875" style="9" customWidth="1"/>
    <col min="15378" max="15378" width="9.28515625" style="9" customWidth="1"/>
    <col min="15379" max="15379" width="10" style="9" customWidth="1"/>
    <col min="15380" max="15380" width="8.42578125" style="9" customWidth="1"/>
    <col min="15381" max="15381" width="12.28515625" style="9" customWidth="1"/>
    <col min="15382" max="15382" width="7.5703125" style="9" customWidth="1"/>
    <col min="15383" max="15383" width="7.85546875" style="9" customWidth="1"/>
    <col min="15384" max="15384" width="8.28515625" style="9" customWidth="1"/>
    <col min="15385" max="15385" width="9.140625" style="9"/>
    <col min="15386" max="15388" width="7.5703125" style="9" customWidth="1"/>
    <col min="15389" max="15389" width="10.28515625" style="9" customWidth="1"/>
    <col min="15390" max="15390" width="10.5703125" style="9" customWidth="1"/>
    <col min="15391" max="15391" width="11.140625" style="9" customWidth="1"/>
    <col min="15392" max="15392" width="10.42578125" style="9" customWidth="1"/>
    <col min="15393" max="15402" width="11" style="9" customWidth="1"/>
    <col min="15403" max="15403" width="9.140625" style="9" customWidth="1"/>
    <col min="15404" max="15404" width="6.85546875" style="9" customWidth="1"/>
    <col min="15405" max="15405" width="15" style="9" bestFit="1" customWidth="1"/>
    <col min="15406" max="15630" width="9.140625" style="9"/>
    <col min="15631" max="15631" width="4" style="9" customWidth="1"/>
    <col min="15632" max="15632" width="24.42578125" style="9" customWidth="1"/>
    <col min="15633" max="15633" width="19.85546875" style="9" customWidth="1"/>
    <col min="15634" max="15634" width="9.28515625" style="9" customWidth="1"/>
    <col min="15635" max="15635" width="10" style="9" customWidth="1"/>
    <col min="15636" max="15636" width="8.42578125" style="9" customWidth="1"/>
    <col min="15637" max="15637" width="12.28515625" style="9" customWidth="1"/>
    <col min="15638" max="15638" width="7.5703125" style="9" customWidth="1"/>
    <col min="15639" max="15639" width="7.85546875" style="9" customWidth="1"/>
    <col min="15640" max="15640" width="8.28515625" style="9" customWidth="1"/>
    <col min="15641" max="15641" width="9.140625" style="9"/>
    <col min="15642" max="15644" width="7.5703125" style="9" customWidth="1"/>
    <col min="15645" max="15645" width="10.28515625" style="9" customWidth="1"/>
    <col min="15646" max="15646" width="10.5703125" style="9" customWidth="1"/>
    <col min="15647" max="15647" width="11.140625" style="9" customWidth="1"/>
    <col min="15648" max="15648" width="10.42578125" style="9" customWidth="1"/>
    <col min="15649" max="15658" width="11" style="9" customWidth="1"/>
    <col min="15659" max="15659" width="9.140625" style="9" customWidth="1"/>
    <col min="15660" max="15660" width="6.85546875" style="9" customWidth="1"/>
    <col min="15661" max="15661" width="15" style="9" bestFit="1" customWidth="1"/>
    <col min="15662" max="15886" width="9.140625" style="9"/>
    <col min="15887" max="15887" width="4" style="9" customWidth="1"/>
    <col min="15888" max="15888" width="24.42578125" style="9" customWidth="1"/>
    <col min="15889" max="15889" width="19.85546875" style="9" customWidth="1"/>
    <col min="15890" max="15890" width="9.28515625" style="9" customWidth="1"/>
    <col min="15891" max="15891" width="10" style="9" customWidth="1"/>
    <col min="15892" max="15892" width="8.42578125" style="9" customWidth="1"/>
    <col min="15893" max="15893" width="12.28515625" style="9" customWidth="1"/>
    <col min="15894" max="15894" width="7.5703125" style="9" customWidth="1"/>
    <col min="15895" max="15895" width="7.85546875" style="9" customWidth="1"/>
    <col min="15896" max="15896" width="8.28515625" style="9" customWidth="1"/>
    <col min="15897" max="15897" width="9.140625" style="9"/>
    <col min="15898" max="15900" width="7.5703125" style="9" customWidth="1"/>
    <col min="15901" max="15901" width="10.28515625" style="9" customWidth="1"/>
    <col min="15902" max="15902" width="10.5703125" style="9" customWidth="1"/>
    <col min="15903" max="15903" width="11.140625" style="9" customWidth="1"/>
    <col min="15904" max="15904" width="10.42578125" style="9" customWidth="1"/>
    <col min="15905" max="15914" width="11" style="9" customWidth="1"/>
    <col min="15915" max="15915" width="9.140625" style="9" customWidth="1"/>
    <col min="15916" max="15916" width="6.85546875" style="9" customWidth="1"/>
    <col min="15917" max="15917" width="15" style="9" bestFit="1" customWidth="1"/>
    <col min="15918" max="16142" width="9.140625" style="9"/>
    <col min="16143" max="16143" width="4" style="9" customWidth="1"/>
    <col min="16144" max="16144" width="24.42578125" style="9" customWidth="1"/>
    <col min="16145" max="16145" width="19.85546875" style="9" customWidth="1"/>
    <col min="16146" max="16146" width="9.28515625" style="9" customWidth="1"/>
    <col min="16147" max="16147" width="10" style="9" customWidth="1"/>
    <col min="16148" max="16148" width="8.42578125" style="9" customWidth="1"/>
    <col min="16149" max="16149" width="12.28515625" style="9" customWidth="1"/>
    <col min="16150" max="16150" width="7.5703125" style="9" customWidth="1"/>
    <col min="16151" max="16151" width="7.85546875" style="9" customWidth="1"/>
    <col min="16152" max="16152" width="8.28515625" style="9" customWidth="1"/>
    <col min="16153" max="16153" width="9.140625" style="9"/>
    <col min="16154" max="16156" width="7.5703125" style="9" customWidth="1"/>
    <col min="16157" max="16157" width="10.28515625" style="9" customWidth="1"/>
    <col min="16158" max="16158" width="10.5703125" style="9" customWidth="1"/>
    <col min="16159" max="16159" width="11.140625" style="9" customWidth="1"/>
    <col min="16160" max="16160" width="10.42578125" style="9" customWidth="1"/>
    <col min="16161" max="16170" width="11" style="9" customWidth="1"/>
    <col min="16171" max="16171" width="9.140625" style="9" customWidth="1"/>
    <col min="16172" max="16172" width="6.85546875" style="9" customWidth="1"/>
    <col min="16173" max="16173" width="15" style="9" bestFit="1" customWidth="1"/>
    <col min="16174" max="16384" width="9.140625" style="9"/>
  </cols>
  <sheetData>
    <row r="2" spans="1:60" ht="132">
      <c r="A2" s="1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187" t="s">
        <v>4</v>
      </c>
      <c r="J2" s="187" t="s">
        <v>5</v>
      </c>
      <c r="K2" s="187" t="s">
        <v>6</v>
      </c>
      <c r="L2" s="187" t="s">
        <v>7</v>
      </c>
      <c r="M2" s="5" t="s">
        <v>8</v>
      </c>
      <c r="N2" s="6" t="s">
        <v>9</v>
      </c>
      <c r="O2" s="6" t="s">
        <v>10</v>
      </c>
      <c r="P2" s="6" t="s">
        <v>11</v>
      </c>
      <c r="Q2" s="6" t="s">
        <v>12</v>
      </c>
      <c r="R2" s="6" t="s">
        <v>13</v>
      </c>
      <c r="S2" s="6"/>
      <c r="T2" s="211">
        <v>2017</v>
      </c>
      <c r="U2" s="6" t="s">
        <v>14</v>
      </c>
      <c r="V2" s="6" t="s">
        <v>15</v>
      </c>
      <c r="W2" s="6" t="s">
        <v>16</v>
      </c>
      <c r="X2" s="6" t="s">
        <v>17</v>
      </c>
      <c r="Y2" s="6" t="s">
        <v>18</v>
      </c>
      <c r="Z2" s="6" t="s">
        <v>19</v>
      </c>
      <c r="AA2" s="6" t="s">
        <v>20</v>
      </c>
      <c r="AB2" s="6" t="s">
        <v>21</v>
      </c>
      <c r="AC2" s="6"/>
      <c r="AD2" s="6"/>
      <c r="AE2" s="6" t="s">
        <v>22</v>
      </c>
      <c r="AF2" s="6" t="s">
        <v>23</v>
      </c>
      <c r="AG2" s="6" t="s">
        <v>24</v>
      </c>
      <c r="AH2" s="7" t="s">
        <v>25</v>
      </c>
      <c r="AI2" s="7"/>
      <c r="AJ2" s="7"/>
      <c r="AK2" s="7" t="s">
        <v>26</v>
      </c>
      <c r="AL2" s="8" t="s">
        <v>27</v>
      </c>
      <c r="AM2" s="8" t="s">
        <v>28</v>
      </c>
      <c r="AN2" s="8" t="s">
        <v>29</v>
      </c>
      <c r="AO2" s="8" t="s">
        <v>164</v>
      </c>
      <c r="AP2" s="8"/>
      <c r="AQ2" s="8"/>
      <c r="AR2" s="8" t="s">
        <v>143</v>
      </c>
      <c r="AS2" s="10" t="s">
        <v>30</v>
      </c>
      <c r="AT2" s="8" t="s">
        <v>144</v>
      </c>
      <c r="AU2" s="60" t="s">
        <v>145</v>
      </c>
      <c r="AV2" s="61" t="s">
        <v>146</v>
      </c>
      <c r="AW2" s="61" t="s">
        <v>147</v>
      </c>
      <c r="AX2" s="59" t="s">
        <v>151</v>
      </c>
      <c r="AY2" s="9"/>
      <c r="BA2" s="63" t="s">
        <v>148</v>
      </c>
      <c r="BB2" s="63" t="s">
        <v>149</v>
      </c>
      <c r="BC2" s="63" t="s">
        <v>150</v>
      </c>
      <c r="BD2" s="9">
        <v>4</v>
      </c>
      <c r="BE2" s="9">
        <v>12</v>
      </c>
      <c r="BF2" s="9"/>
      <c r="BG2" s="12" t="s">
        <v>31</v>
      </c>
      <c r="BH2" s="62" t="s">
        <v>152</v>
      </c>
    </row>
    <row r="3" spans="1:60" ht="23.25" customHeight="1">
      <c r="A3" s="219">
        <v>1</v>
      </c>
      <c r="B3" s="14" t="s">
        <v>32</v>
      </c>
      <c r="C3" s="14" t="s">
        <v>32</v>
      </c>
      <c r="D3" s="15" t="s">
        <v>33</v>
      </c>
      <c r="E3" s="16">
        <f t="shared" ref="E3:E15" si="0">AVERAGE(N3:R3)</f>
        <v>43003</v>
      </c>
      <c r="F3" s="16">
        <f t="shared" ref="F3:F15" si="1">AVERAGE(U3:AB3)</f>
        <v>46327.875</v>
      </c>
      <c r="G3" s="16">
        <f>AVERAGE(AE3:AH3)</f>
        <v>78850.5</v>
      </c>
      <c r="H3" s="16">
        <f>AVERAGE(AK3:AN3)</f>
        <v>68161.5</v>
      </c>
      <c r="I3" s="188"/>
      <c r="J3" s="188"/>
      <c r="K3" s="188"/>
      <c r="L3" s="188"/>
      <c r="M3" s="17">
        <v>115454</v>
      </c>
      <c r="N3" s="17">
        <f>20953+34257</f>
        <v>55210</v>
      </c>
      <c r="O3" s="17">
        <f>11506+18872</f>
        <v>30378</v>
      </c>
      <c r="P3" s="17">
        <f>15483+33338</f>
        <v>48821</v>
      </c>
      <c r="Q3" s="17">
        <v>46267</v>
      </c>
      <c r="R3" s="17">
        <f>11097+23242</f>
        <v>34339</v>
      </c>
      <c r="S3" s="17">
        <f>M3+N3+O3+P3+Q3+R3</f>
        <v>330469</v>
      </c>
      <c r="T3" s="212">
        <f>S3+S4+S5+S6+S7+S8+S9+S10+S11+S12+S13+S14+S15+S16+S17+S18+S19+S20+S21+S22+S23+S24</f>
        <v>2847234</v>
      </c>
      <c r="U3" s="17">
        <v>45068</v>
      </c>
      <c r="V3" s="17">
        <v>48843</v>
      </c>
      <c r="W3" s="17">
        <v>42904</v>
      </c>
      <c r="X3" s="17">
        <v>47723</v>
      </c>
      <c r="Y3" s="17">
        <v>55332</v>
      </c>
      <c r="Z3" s="17">
        <v>37415</v>
      </c>
      <c r="AA3" s="17">
        <v>47983</v>
      </c>
      <c r="AB3" s="17">
        <v>45355</v>
      </c>
      <c r="AC3" s="17">
        <f>U3+V3+W3+X3+Y3+Z3+AA3+AB3</f>
        <v>370623</v>
      </c>
      <c r="AD3" s="212">
        <f>AC3+AC4+AC5+AC6+AC7+AC8+AC9+AC10+AC11+AC12+AC13+AC14+AC15+AC16+AC17+AC18+AC19+AC20+AC21+AC22+AC23+AC24</f>
        <v>4658149</v>
      </c>
      <c r="AE3" s="17">
        <v>67196</v>
      </c>
      <c r="AF3" s="17">
        <v>82706</v>
      </c>
      <c r="AG3" s="17">
        <v>78158</v>
      </c>
      <c r="AH3" s="17">
        <v>87342</v>
      </c>
      <c r="AI3" s="17">
        <f>AE3+AF3+AG3+AH3</f>
        <v>315402</v>
      </c>
      <c r="AJ3" s="212">
        <f>AI3+AI4+AI5+AI6+AI7+AI8+AI9+AI10+AI11+AI12+AI13+AI14+AI15+AI16+AI17+AI18+AI19+AI20+AI21+AI22+AI23+AI24</f>
        <v>4573098</v>
      </c>
      <c r="AK3" s="17">
        <v>85341</v>
      </c>
      <c r="AL3" s="18">
        <v>76252</v>
      </c>
      <c r="AM3" s="18">
        <v>70654</v>
      </c>
      <c r="AN3" s="18">
        <v>40399</v>
      </c>
      <c r="AO3" s="18">
        <v>19763</v>
      </c>
      <c r="AP3" s="18">
        <f>AK3+AL3+AM3+AN3+AO3</f>
        <v>292409</v>
      </c>
      <c r="AQ3" s="212">
        <f>AP3+AP4+AP5+AP6+AP7+AP8+AP9+AP10+AP11+AP12+AP13+AP14+AP15+AP16+AP17+AP18+AP19+AP20+AP21+AP22+AP23+AP24</f>
        <v>7974536</v>
      </c>
      <c r="AR3" s="44">
        <f>SUM(M3:AO3)</f>
        <v>14403878</v>
      </c>
      <c r="AS3" s="20">
        <v>5.8500000000000003E-2</v>
      </c>
      <c r="AT3" s="44">
        <f t="shared" ref="AT3:AT44" si="2">AR3*AS3</f>
        <v>842626.86300000001</v>
      </c>
      <c r="AU3" s="60">
        <f>AT3/$AT$45*100</f>
        <v>9.5223814550849042</v>
      </c>
      <c r="AV3" s="60">
        <f>AU3*$AV$45/100</f>
        <v>1904476.2910169808</v>
      </c>
      <c r="AW3" s="60">
        <f>AV3/AS3</f>
        <v>32555150.273794543</v>
      </c>
      <c r="AX3" s="11">
        <f t="shared" ref="AX3:AX18" si="3">AW3/BE3</f>
        <v>127174.33684362534</v>
      </c>
      <c r="AY3" s="9"/>
      <c r="BA3" s="22">
        <f>[1]საპენსიო!D2</f>
        <v>92.063670411985015</v>
      </c>
      <c r="BB3" s="22">
        <f>[1]შშმპ!D2</f>
        <v>78.595238095238102</v>
      </c>
      <c r="BC3" s="23">
        <f>AVERAGE(BA3:BB3)</f>
        <v>85.329454253611559</v>
      </c>
      <c r="BD3" s="23">
        <f>BC3/$BD$2</f>
        <v>21.33236356340289</v>
      </c>
      <c r="BE3" s="23">
        <f>BD3*$BE$2</f>
        <v>255.98836276083466</v>
      </c>
      <c r="BF3" s="9"/>
      <c r="BG3" s="21">
        <v>12852</v>
      </c>
      <c r="BH3" s="24">
        <f t="shared" ref="BH3:BH18" si="4">BG3/BD3</f>
        <v>602.46488682803408</v>
      </c>
    </row>
    <row r="4" spans="1:60">
      <c r="A4" s="219"/>
      <c r="B4" s="25" t="s">
        <v>34</v>
      </c>
      <c r="C4" s="25" t="s">
        <v>35</v>
      </c>
      <c r="D4" s="15" t="s">
        <v>36</v>
      </c>
      <c r="E4" s="16">
        <f t="shared" si="0"/>
        <v>62600.6</v>
      </c>
      <c r="F4" s="16">
        <f t="shared" si="1"/>
        <v>82328.125</v>
      </c>
      <c r="G4" s="16">
        <f t="shared" ref="G4:G44" si="5">AVERAGE(AE4:AH4)</f>
        <v>138558</v>
      </c>
      <c r="H4" s="16">
        <f t="shared" ref="H4:H44" si="6">AVERAGE(AK4:AN4)</f>
        <v>136314</v>
      </c>
      <c r="I4" s="188"/>
      <c r="J4" s="188"/>
      <c r="K4" s="188"/>
      <c r="L4" s="188"/>
      <c r="M4" s="17">
        <v>128708</v>
      </c>
      <c r="N4" s="17">
        <f>68841</f>
        <v>68841</v>
      </c>
      <c r="O4" s="17">
        <f>41674</f>
        <v>41674</v>
      </c>
      <c r="P4" s="17">
        <f>77476</f>
        <v>77476</v>
      </c>
      <c r="Q4" s="17">
        <v>71438</v>
      </c>
      <c r="R4" s="17">
        <f>180+53394</f>
        <v>53574</v>
      </c>
      <c r="S4" s="17">
        <f t="shared" ref="S4:S44" si="7">M4+N4+O4+P4+Q4+R4</f>
        <v>441711</v>
      </c>
      <c r="T4" s="213"/>
      <c r="U4" s="17">
        <v>68830</v>
      </c>
      <c r="V4" s="17">
        <v>87699</v>
      </c>
      <c r="W4" s="17">
        <v>79766</v>
      </c>
      <c r="X4" s="17">
        <v>76260</v>
      </c>
      <c r="Y4" s="17">
        <v>95079</v>
      </c>
      <c r="Z4" s="17">
        <v>75991</v>
      </c>
      <c r="AA4" s="17">
        <v>86045</v>
      </c>
      <c r="AB4" s="17">
        <v>88955</v>
      </c>
      <c r="AC4" s="17">
        <f t="shared" ref="AC4:AC44" si="8">U4+V4+W4+X4+Y4+Z4+AA4+AB4</f>
        <v>658625</v>
      </c>
      <c r="AD4" s="17"/>
      <c r="AE4" s="17">
        <v>117285</v>
      </c>
      <c r="AF4" s="17">
        <v>156780</v>
      </c>
      <c r="AG4" s="17">
        <v>143245</v>
      </c>
      <c r="AH4" s="17">
        <v>136922</v>
      </c>
      <c r="AI4" s="17">
        <f t="shared" ref="AI4:AI44" si="9">AE4+AF4+AG4+AH4</f>
        <v>554232</v>
      </c>
      <c r="AJ4" s="17"/>
      <c r="AK4" s="17">
        <v>138365</v>
      </c>
      <c r="AL4" s="18">
        <v>134077</v>
      </c>
      <c r="AM4" s="18">
        <v>133218</v>
      </c>
      <c r="AN4" s="18">
        <v>139596</v>
      </c>
      <c r="AO4" s="18">
        <v>194005</v>
      </c>
      <c r="AP4" s="18">
        <f t="shared" ref="AP4:AP44" si="10">AK4+AL4+AM4+AN4+AO4</f>
        <v>739261</v>
      </c>
      <c r="AQ4" s="18"/>
      <c r="AR4" s="44">
        <f t="shared" ref="AR4:AR44" si="11">SUM(M4:AO4)</f>
        <v>4048397</v>
      </c>
      <c r="AS4" s="26">
        <v>6.4500000000000002E-2</v>
      </c>
      <c r="AT4" s="44">
        <f t="shared" si="2"/>
        <v>261121.60649999999</v>
      </c>
      <c r="AU4" s="60">
        <f t="shared" ref="AU4:AU44" si="12">AT4/$AT$45*100</f>
        <v>2.9508904266414038</v>
      </c>
      <c r="AV4" s="60">
        <f t="shared" ref="AV4:AV44" si="13">AU4*$AV$45/100</f>
        <v>590178.08532828081</v>
      </c>
      <c r="AW4" s="60">
        <f t="shared" ref="AW4:AW43" si="14">AV4/AS4</f>
        <v>9150047.8345469888</v>
      </c>
      <c r="AX4" s="11">
        <f t="shared" si="3"/>
        <v>33213.592142886031</v>
      </c>
      <c r="AY4" s="9"/>
      <c r="BA4" s="22">
        <f>[1]საპენსიო!D3</f>
        <v>87.473209249858996</v>
      </c>
      <c r="BB4" s="22">
        <f>[1]შშმპ!D3</f>
        <v>96.1875</v>
      </c>
      <c r="BC4" s="23">
        <f t="shared" ref="BC4:BC44" si="15">AVERAGE(BA4:BB4)</f>
        <v>91.830354624929498</v>
      </c>
      <c r="BD4" s="23">
        <f t="shared" ref="BD4:BD44" si="16">BC4/$BD$2</f>
        <v>22.957588656232375</v>
      </c>
      <c r="BE4" s="23">
        <f t="shared" ref="BE4:BE44" si="17">BD4*$BE$2</f>
        <v>275.49106387478849</v>
      </c>
      <c r="BF4" s="9"/>
      <c r="BG4" s="21">
        <v>970805</v>
      </c>
      <c r="BH4" s="24">
        <f t="shared" si="4"/>
        <v>42286.888860013278</v>
      </c>
    </row>
    <row r="5" spans="1:60">
      <c r="A5" s="25">
        <v>2</v>
      </c>
      <c r="B5" s="25" t="s">
        <v>37</v>
      </c>
      <c r="C5" s="25" t="s">
        <v>38</v>
      </c>
      <c r="D5" s="27" t="s">
        <v>39</v>
      </c>
      <c r="E5" s="16">
        <f t="shared" si="0"/>
        <v>44461.8</v>
      </c>
      <c r="F5" s="16">
        <f t="shared" si="1"/>
        <v>62495.625</v>
      </c>
      <c r="G5" s="16">
        <f t="shared" si="5"/>
        <v>127965.25</v>
      </c>
      <c r="H5" s="16">
        <f t="shared" si="6"/>
        <v>92294.25</v>
      </c>
      <c r="I5" s="188"/>
      <c r="J5" s="188"/>
      <c r="K5" s="188"/>
      <c r="L5" s="188"/>
      <c r="M5" s="17">
        <v>74656</v>
      </c>
      <c r="N5" s="17">
        <f>894+48877</f>
        <v>49771</v>
      </c>
      <c r="O5" s="17">
        <f>304+29577</f>
        <v>29881</v>
      </c>
      <c r="P5" s="17">
        <f>49670</f>
        <v>49670</v>
      </c>
      <c r="Q5" s="17">
        <v>52667</v>
      </c>
      <c r="R5" s="17">
        <f>92+40228</f>
        <v>40320</v>
      </c>
      <c r="S5" s="17">
        <f t="shared" si="7"/>
        <v>296965</v>
      </c>
      <c r="T5" s="213"/>
      <c r="U5" s="17">
        <v>51024</v>
      </c>
      <c r="V5" s="17">
        <v>63258</v>
      </c>
      <c r="W5" s="17">
        <v>59752</v>
      </c>
      <c r="X5" s="17">
        <v>57385</v>
      </c>
      <c r="Y5" s="17">
        <v>78187</v>
      </c>
      <c r="Z5" s="17">
        <v>57063</v>
      </c>
      <c r="AA5" s="17">
        <v>65543</v>
      </c>
      <c r="AB5" s="17">
        <v>67753</v>
      </c>
      <c r="AC5" s="17">
        <f t="shared" si="8"/>
        <v>499965</v>
      </c>
      <c r="AD5" s="17"/>
      <c r="AE5" s="17">
        <v>107766</v>
      </c>
      <c r="AF5" s="17">
        <v>143166</v>
      </c>
      <c r="AG5" s="17">
        <v>134239</v>
      </c>
      <c r="AH5" s="17">
        <v>126690</v>
      </c>
      <c r="AI5" s="17">
        <f t="shared" si="9"/>
        <v>511861</v>
      </c>
      <c r="AJ5" s="17"/>
      <c r="AK5" s="17">
        <v>118049</v>
      </c>
      <c r="AL5" s="28">
        <f>2143+6105+111108</f>
        <v>119356</v>
      </c>
      <c r="AM5" s="28">
        <v>102458</v>
      </c>
      <c r="AN5" s="28">
        <v>29314</v>
      </c>
      <c r="AO5" s="28">
        <v>60741</v>
      </c>
      <c r="AP5" s="18">
        <f t="shared" si="10"/>
        <v>429918</v>
      </c>
      <c r="AQ5" s="28"/>
      <c r="AR5" s="44">
        <f t="shared" si="11"/>
        <v>3047500</v>
      </c>
      <c r="AS5" s="26">
        <v>0.21840000000000001</v>
      </c>
      <c r="AT5" s="44">
        <f t="shared" si="2"/>
        <v>665574</v>
      </c>
      <c r="AU5" s="60">
        <f t="shared" si="12"/>
        <v>7.5215374596794451</v>
      </c>
      <c r="AV5" s="60">
        <f t="shared" si="13"/>
        <v>1504307.4919358892</v>
      </c>
      <c r="AW5" s="60">
        <f t="shared" si="14"/>
        <v>6887854.8165562693</v>
      </c>
      <c r="AX5" s="11">
        <f t="shared" si="3"/>
        <v>36807.365639507392</v>
      </c>
      <c r="AY5" s="9"/>
      <c r="BA5" s="22">
        <f>[1]საპენსიო!D4</f>
        <v>66.601855287569578</v>
      </c>
      <c r="BB5" s="22">
        <f>[1]შშმპ!D9</f>
        <v>58.153153153153156</v>
      </c>
      <c r="BC5" s="23">
        <f t="shared" si="15"/>
        <v>62.377504220361367</v>
      </c>
      <c r="BD5" s="23">
        <f t="shared" si="16"/>
        <v>15.594376055090342</v>
      </c>
      <c r="BE5" s="23">
        <f t="shared" si="17"/>
        <v>187.13251266108409</v>
      </c>
      <c r="BF5" s="9"/>
      <c r="BG5" s="21">
        <v>160907</v>
      </c>
      <c r="BH5" s="24">
        <f t="shared" si="4"/>
        <v>10318.271114635361</v>
      </c>
    </row>
    <row r="6" spans="1:60">
      <c r="A6" s="25">
        <v>3</v>
      </c>
      <c r="B6" s="25" t="s">
        <v>40</v>
      </c>
      <c r="C6" s="25" t="s">
        <v>40</v>
      </c>
      <c r="D6" s="29" t="s">
        <v>41</v>
      </c>
      <c r="E6" s="16">
        <f t="shared" si="0"/>
        <v>55445</v>
      </c>
      <c r="F6" s="16">
        <f t="shared" si="1"/>
        <v>108836.625</v>
      </c>
      <c r="G6" s="16">
        <f t="shared" si="5"/>
        <v>216440.25</v>
      </c>
      <c r="H6" s="16">
        <f t="shared" si="6"/>
        <v>227824</v>
      </c>
      <c r="I6" s="188"/>
      <c r="J6" s="188"/>
      <c r="K6" s="188"/>
      <c r="L6" s="188"/>
      <c r="M6" s="17">
        <v>0</v>
      </c>
      <c r="N6" s="17">
        <v>0</v>
      </c>
      <c r="O6" s="17">
        <v>11654</v>
      </c>
      <c r="P6" s="17">
        <f>125527</f>
        <v>125527</v>
      </c>
      <c r="Q6" s="17">
        <v>76906</v>
      </c>
      <c r="R6" s="17">
        <f>63138</f>
        <v>63138</v>
      </c>
      <c r="S6" s="17">
        <f t="shared" si="7"/>
        <v>277225</v>
      </c>
      <c r="T6" s="213"/>
      <c r="U6" s="17">
        <v>94802</v>
      </c>
      <c r="V6" s="17">
        <v>103039</v>
      </c>
      <c r="W6" s="17">
        <v>106262</v>
      </c>
      <c r="X6" s="17">
        <v>109933</v>
      </c>
      <c r="Y6" s="17">
        <v>124788</v>
      </c>
      <c r="Z6" s="17">
        <v>101734</v>
      </c>
      <c r="AA6" s="17">
        <v>117850</v>
      </c>
      <c r="AB6" s="17">
        <v>112285</v>
      </c>
      <c r="AC6" s="17">
        <f t="shared" si="8"/>
        <v>870693</v>
      </c>
      <c r="AD6" s="17"/>
      <c r="AE6" s="17">
        <v>174735</v>
      </c>
      <c r="AF6" s="17">
        <v>241015</v>
      </c>
      <c r="AG6" s="17">
        <v>224504</v>
      </c>
      <c r="AH6" s="17">
        <v>225507</v>
      </c>
      <c r="AI6" s="17">
        <f t="shared" si="9"/>
        <v>865761</v>
      </c>
      <c r="AJ6" s="17"/>
      <c r="AK6" s="17">
        <v>231313</v>
      </c>
      <c r="AL6" s="18">
        <v>231431</v>
      </c>
      <c r="AM6" s="18">
        <v>237975</v>
      </c>
      <c r="AN6" s="18">
        <v>210577</v>
      </c>
      <c r="AO6" s="18">
        <v>255545</v>
      </c>
      <c r="AP6" s="18">
        <f t="shared" si="10"/>
        <v>1166841</v>
      </c>
      <c r="AQ6" s="18"/>
      <c r="AR6" s="44">
        <f t="shared" si="11"/>
        <v>5194199</v>
      </c>
      <c r="AS6" s="30">
        <v>4.1000000000000002E-2</v>
      </c>
      <c r="AT6" s="44">
        <f t="shared" si="2"/>
        <v>212962.15900000001</v>
      </c>
      <c r="AU6" s="60">
        <f t="shared" si="12"/>
        <v>2.4066487819727183</v>
      </c>
      <c r="AV6" s="60">
        <f t="shared" si="13"/>
        <v>481329.75639454363</v>
      </c>
      <c r="AW6" s="60">
        <f t="shared" si="14"/>
        <v>11739750.155964479</v>
      </c>
      <c r="AX6" s="11">
        <f t="shared" si="3"/>
        <v>34289.353100082822</v>
      </c>
      <c r="AY6" s="9"/>
      <c r="BA6" s="22">
        <f>[1]საპენსიო!D17</f>
        <v>110.81858766233766</v>
      </c>
      <c r="BB6" s="22">
        <f>[1]შშმპ!D16</f>
        <v>117.43010752688173</v>
      </c>
      <c r="BC6" s="23">
        <f t="shared" si="15"/>
        <v>114.1243475946097</v>
      </c>
      <c r="BD6" s="23">
        <f t="shared" si="16"/>
        <v>28.531086898652426</v>
      </c>
      <c r="BE6" s="23">
        <f t="shared" si="17"/>
        <v>342.37304278382908</v>
      </c>
      <c r="BF6" s="9"/>
      <c r="BG6" s="21">
        <v>1304050</v>
      </c>
      <c r="BH6" s="24">
        <f t="shared" si="4"/>
        <v>45706.285380301888</v>
      </c>
    </row>
    <row r="7" spans="1:60" ht="27" customHeight="1">
      <c r="A7" s="25">
        <v>4</v>
      </c>
      <c r="B7" s="25" t="s">
        <v>42</v>
      </c>
      <c r="C7" s="25" t="s">
        <v>43</v>
      </c>
      <c r="D7" s="31" t="s">
        <v>44</v>
      </c>
      <c r="E7" s="16">
        <f t="shared" si="0"/>
        <v>28665.599999999999</v>
      </c>
      <c r="F7" s="16">
        <f t="shared" si="1"/>
        <v>37865.25</v>
      </c>
      <c r="G7" s="16">
        <f t="shared" si="5"/>
        <v>71543.75</v>
      </c>
      <c r="H7" s="16">
        <f t="shared" si="6"/>
        <v>58414</v>
      </c>
      <c r="I7" s="188"/>
      <c r="J7" s="188"/>
      <c r="K7" s="188"/>
      <c r="L7" s="188"/>
      <c r="M7" s="17">
        <v>71359</v>
      </c>
      <c r="N7" s="17">
        <f>103+23+219+92+90+92+5463+17825+10070</f>
        <v>33977</v>
      </c>
      <c r="O7" s="17">
        <f>71+46+91+92+2667+9088+6961</f>
        <v>19016</v>
      </c>
      <c r="P7" s="17">
        <f>90+230+5697+14666+13155</f>
        <v>33838</v>
      </c>
      <c r="Q7" s="17">
        <v>31458</v>
      </c>
      <c r="R7" s="17">
        <f>1+138+115+2448+8277+14060</f>
        <v>25039</v>
      </c>
      <c r="S7" s="17">
        <f t="shared" si="7"/>
        <v>214687</v>
      </c>
      <c r="T7" s="213"/>
      <c r="U7" s="17">
        <v>32180</v>
      </c>
      <c r="V7" s="17">
        <v>40242</v>
      </c>
      <c r="W7" s="17">
        <v>34672</v>
      </c>
      <c r="X7" s="17">
        <v>37150</v>
      </c>
      <c r="Y7" s="17">
        <v>44130</v>
      </c>
      <c r="Z7" s="17">
        <v>33373</v>
      </c>
      <c r="AA7" s="17">
        <v>39863</v>
      </c>
      <c r="AB7" s="17">
        <v>41312</v>
      </c>
      <c r="AC7" s="17">
        <f t="shared" si="8"/>
        <v>302922</v>
      </c>
      <c r="AD7" s="17"/>
      <c r="AE7" s="17">
        <v>62328</v>
      </c>
      <c r="AF7" s="17">
        <v>81237</v>
      </c>
      <c r="AG7" s="17">
        <v>72170</v>
      </c>
      <c r="AH7" s="17">
        <v>70440</v>
      </c>
      <c r="AI7" s="17">
        <f t="shared" si="9"/>
        <v>286175</v>
      </c>
      <c r="AJ7" s="17"/>
      <c r="AK7" s="17">
        <v>70692</v>
      </c>
      <c r="AL7" s="18">
        <v>71155</v>
      </c>
      <c r="AM7" s="18">
        <v>64086</v>
      </c>
      <c r="AN7" s="18">
        <v>27723</v>
      </c>
      <c r="AO7" s="18">
        <v>8706</v>
      </c>
      <c r="AP7" s="18">
        <f t="shared" si="10"/>
        <v>242362</v>
      </c>
      <c r="AQ7" s="18"/>
      <c r="AR7" s="44">
        <f t="shared" si="11"/>
        <v>1849930</v>
      </c>
      <c r="AS7" s="30">
        <v>4.7500000000000001E-2</v>
      </c>
      <c r="AT7" s="44">
        <f t="shared" si="2"/>
        <v>87871.675000000003</v>
      </c>
      <c r="AU7" s="60">
        <f t="shared" si="12"/>
        <v>0.99302270695261208</v>
      </c>
      <c r="AV7" s="60">
        <f t="shared" si="13"/>
        <v>198604.54139052241</v>
      </c>
      <c r="AW7" s="60">
        <f t="shared" si="14"/>
        <v>4181148.2398004718</v>
      </c>
      <c r="AX7" s="11">
        <f t="shared" si="3"/>
        <v>23231.30378930693</v>
      </c>
      <c r="AY7" s="9"/>
      <c r="BA7" s="22">
        <f>[1]საპენსიო!D6</f>
        <v>57.986040609137056</v>
      </c>
      <c r="BB7" s="22">
        <f>[1]შშმპ!D4</f>
        <v>62</v>
      </c>
      <c r="BC7" s="23">
        <f t="shared" si="15"/>
        <v>59.993020304568532</v>
      </c>
      <c r="BD7" s="23">
        <f t="shared" si="16"/>
        <v>14.998255076142133</v>
      </c>
      <c r="BE7" s="23">
        <f t="shared" si="17"/>
        <v>179.97906091370561</v>
      </c>
      <c r="BF7" s="9"/>
      <c r="BG7" s="21">
        <v>6776</v>
      </c>
      <c r="BH7" s="24">
        <f t="shared" si="4"/>
        <v>451.78588879840078</v>
      </c>
    </row>
    <row r="8" spans="1:60" ht="30" customHeight="1">
      <c r="A8" s="25">
        <v>5</v>
      </c>
      <c r="B8" s="14" t="s">
        <v>45</v>
      </c>
      <c r="C8" s="25" t="s">
        <v>46</v>
      </c>
      <c r="D8" s="29" t="s">
        <v>47</v>
      </c>
      <c r="E8" s="16">
        <f t="shared" si="0"/>
        <v>12809.8</v>
      </c>
      <c r="F8" s="16">
        <f t="shared" si="1"/>
        <v>16399.375</v>
      </c>
      <c r="G8" s="16">
        <f t="shared" si="5"/>
        <v>36643.75</v>
      </c>
      <c r="H8" s="16">
        <f t="shared" si="6"/>
        <v>40709</v>
      </c>
      <c r="I8" s="188"/>
      <c r="J8" s="188"/>
      <c r="K8" s="188"/>
      <c r="L8" s="188"/>
      <c r="M8" s="17">
        <v>35172</v>
      </c>
      <c r="N8" s="17">
        <f>14677+300</f>
        <v>14977</v>
      </c>
      <c r="O8" s="17">
        <f>7169</f>
        <v>7169</v>
      </c>
      <c r="P8" s="17">
        <f>16509</f>
        <v>16509</v>
      </c>
      <c r="Q8" s="17">
        <v>14056</v>
      </c>
      <c r="R8" s="17">
        <f>11338</f>
        <v>11338</v>
      </c>
      <c r="S8" s="17">
        <f t="shared" si="7"/>
        <v>99221</v>
      </c>
      <c r="T8" s="213"/>
      <c r="U8" s="17">
        <v>15140</v>
      </c>
      <c r="V8" s="17">
        <v>16835</v>
      </c>
      <c r="W8" s="17">
        <v>15104</v>
      </c>
      <c r="X8" s="17">
        <v>15293</v>
      </c>
      <c r="Y8" s="17">
        <v>18158</v>
      </c>
      <c r="Z8" s="17">
        <v>14011</v>
      </c>
      <c r="AA8" s="17">
        <v>19170</v>
      </c>
      <c r="AB8" s="17">
        <v>17484</v>
      </c>
      <c r="AC8" s="17">
        <f t="shared" si="8"/>
        <v>131195</v>
      </c>
      <c r="AD8" s="17"/>
      <c r="AE8" s="17">
        <v>31052</v>
      </c>
      <c r="AF8" s="17">
        <v>40073</v>
      </c>
      <c r="AG8" s="17">
        <v>38322</v>
      </c>
      <c r="AH8" s="17">
        <v>37128</v>
      </c>
      <c r="AI8" s="17">
        <f t="shared" si="9"/>
        <v>146575</v>
      </c>
      <c r="AJ8" s="17"/>
      <c r="AK8" s="17">
        <v>38507</v>
      </c>
      <c r="AL8" s="18">
        <v>37090</v>
      </c>
      <c r="AM8" s="18">
        <v>43811</v>
      </c>
      <c r="AN8" s="18">
        <v>43428</v>
      </c>
      <c r="AO8" s="18">
        <v>48226</v>
      </c>
      <c r="AP8" s="18">
        <f t="shared" si="10"/>
        <v>211062</v>
      </c>
      <c r="AQ8" s="18"/>
      <c r="AR8" s="44">
        <f t="shared" si="11"/>
        <v>965044</v>
      </c>
      <c r="AS8" s="32">
        <v>0.1034559</v>
      </c>
      <c r="AT8" s="44">
        <f t="shared" si="2"/>
        <v>99839.495559600007</v>
      </c>
      <c r="AU8" s="60">
        <f t="shared" si="12"/>
        <v>1.1282689915877588</v>
      </c>
      <c r="AV8" s="60">
        <f t="shared" si="13"/>
        <v>225653.79831755176</v>
      </c>
      <c r="AW8" s="60">
        <f t="shared" si="14"/>
        <v>2181159.2989626667</v>
      </c>
      <c r="AX8" s="11">
        <f t="shared" si="3"/>
        <v>8450.7922218523163</v>
      </c>
      <c r="AY8" s="9"/>
      <c r="BA8" s="22">
        <f>[1]საპენსიო!D7</f>
        <v>84.567441860465109</v>
      </c>
      <c r="BB8" s="22">
        <f>[1]შშმპ!D5</f>
        <v>87.5</v>
      </c>
      <c r="BC8" s="23">
        <f t="shared" si="15"/>
        <v>86.033720930232562</v>
      </c>
      <c r="BD8" s="23">
        <f t="shared" si="16"/>
        <v>21.50843023255814</v>
      </c>
      <c r="BE8" s="23">
        <f t="shared" si="17"/>
        <v>258.10116279069769</v>
      </c>
      <c r="BF8" s="9"/>
      <c r="BG8" s="21">
        <v>516988</v>
      </c>
      <c r="BH8" s="24">
        <f t="shared" si="4"/>
        <v>24036.528673181147</v>
      </c>
    </row>
    <row r="9" spans="1:60" ht="25.5" customHeight="1">
      <c r="A9" s="25">
        <v>6</v>
      </c>
      <c r="B9" s="25" t="s">
        <v>48</v>
      </c>
      <c r="C9" s="25" t="s">
        <v>49</v>
      </c>
      <c r="D9" s="31" t="s">
        <v>44</v>
      </c>
      <c r="E9" s="16">
        <f t="shared" si="0"/>
        <v>3011.4</v>
      </c>
      <c r="F9" s="16">
        <f t="shared" si="1"/>
        <v>3165.375</v>
      </c>
      <c r="G9" s="16">
        <f t="shared" si="5"/>
        <v>8302.5</v>
      </c>
      <c r="H9" s="16">
        <f t="shared" si="6"/>
        <v>10258.5</v>
      </c>
      <c r="I9" s="188"/>
      <c r="J9" s="188"/>
      <c r="K9" s="188"/>
      <c r="L9" s="188"/>
      <c r="M9" s="17">
        <v>0</v>
      </c>
      <c r="N9" s="17">
        <v>2759</v>
      </c>
      <c r="O9" s="17">
        <v>3999</v>
      </c>
      <c r="P9" s="17">
        <f>2385</f>
        <v>2385</v>
      </c>
      <c r="Q9" s="17">
        <v>2844</v>
      </c>
      <c r="R9" s="17">
        <f>3070</f>
        <v>3070</v>
      </c>
      <c r="S9" s="17">
        <f t="shared" si="7"/>
        <v>15057</v>
      </c>
      <c r="T9" s="213"/>
      <c r="U9" s="17">
        <v>2441</v>
      </c>
      <c r="V9" s="17">
        <v>2913</v>
      </c>
      <c r="W9" s="17">
        <v>3614</v>
      </c>
      <c r="X9" s="17">
        <v>3529</v>
      </c>
      <c r="Y9" s="17">
        <v>3254</v>
      </c>
      <c r="Z9" s="17">
        <v>3147</v>
      </c>
      <c r="AA9" s="17">
        <v>3592</v>
      </c>
      <c r="AB9" s="17">
        <v>2833</v>
      </c>
      <c r="AC9" s="17">
        <f t="shared" si="8"/>
        <v>25323</v>
      </c>
      <c r="AD9" s="17"/>
      <c r="AE9" s="17">
        <v>8669</v>
      </c>
      <c r="AF9" s="17">
        <v>7654</v>
      </c>
      <c r="AG9" s="17">
        <v>7780</v>
      </c>
      <c r="AH9" s="17">
        <v>9107</v>
      </c>
      <c r="AI9" s="17">
        <f t="shared" si="9"/>
        <v>33210</v>
      </c>
      <c r="AJ9" s="17"/>
      <c r="AK9" s="17">
        <v>9951</v>
      </c>
      <c r="AL9" s="18">
        <v>10209</v>
      </c>
      <c r="AM9" s="18">
        <v>10994</v>
      </c>
      <c r="AN9" s="18">
        <v>9880</v>
      </c>
      <c r="AO9" s="18">
        <v>10121</v>
      </c>
      <c r="AP9" s="18">
        <f t="shared" si="10"/>
        <v>51155</v>
      </c>
      <c r="AQ9" s="18"/>
      <c r="AR9" s="44">
        <f t="shared" si="11"/>
        <v>198335</v>
      </c>
      <c r="AS9" s="30">
        <v>0.188</v>
      </c>
      <c r="AT9" s="44">
        <f t="shared" si="2"/>
        <v>37286.980000000003</v>
      </c>
      <c r="AU9" s="60">
        <f t="shared" si="12"/>
        <v>0.42137375682992162</v>
      </c>
      <c r="AV9" s="60">
        <f t="shared" si="13"/>
        <v>84274.751365984324</v>
      </c>
      <c r="AW9" s="60">
        <f t="shared" si="14"/>
        <v>448269.9540743847</v>
      </c>
      <c r="AX9" s="11">
        <f t="shared" si="3"/>
        <v>1544.8201898747177</v>
      </c>
      <c r="AY9" s="9"/>
      <c r="BA9" s="22">
        <f>[1]საპენსიო!D15</f>
        <v>77.575757575757578</v>
      </c>
      <c r="BB9" s="22">
        <f>[1]შშმპ!D15</f>
        <v>115.875</v>
      </c>
      <c r="BC9" s="23">
        <f t="shared" si="15"/>
        <v>96.725378787878782</v>
      </c>
      <c r="BD9" s="23">
        <f t="shared" si="16"/>
        <v>24.181344696969695</v>
      </c>
      <c r="BE9" s="23">
        <f t="shared" si="17"/>
        <v>290.17613636363637</v>
      </c>
      <c r="BF9" s="9"/>
      <c r="BG9" s="21">
        <v>27649</v>
      </c>
      <c r="BH9" s="24">
        <f t="shared" si="4"/>
        <v>1143.4020872902431</v>
      </c>
    </row>
    <row r="10" spans="1:60" ht="24.75" customHeight="1">
      <c r="A10" s="25">
        <v>7</v>
      </c>
      <c r="B10" s="25" t="s">
        <v>50</v>
      </c>
      <c r="C10" s="25" t="s">
        <v>51</v>
      </c>
      <c r="D10" s="31" t="s">
        <v>52</v>
      </c>
      <c r="E10" s="16">
        <f t="shared" si="0"/>
        <v>20840.8</v>
      </c>
      <c r="F10" s="16">
        <f t="shared" si="1"/>
        <v>29990.375</v>
      </c>
      <c r="G10" s="16">
        <f t="shared" si="5"/>
        <v>66727.75</v>
      </c>
      <c r="H10" s="16">
        <f t="shared" si="6"/>
        <v>75478</v>
      </c>
      <c r="I10" s="188"/>
      <c r="J10" s="188"/>
      <c r="K10" s="188"/>
      <c r="L10" s="188"/>
      <c r="M10" s="17">
        <v>56943</v>
      </c>
      <c r="N10" s="17">
        <v>22075</v>
      </c>
      <c r="O10" s="17">
        <v>12111</v>
      </c>
      <c r="P10" s="17">
        <f>26890</f>
        <v>26890</v>
      </c>
      <c r="Q10" s="17">
        <v>24446</v>
      </c>
      <c r="R10" s="17">
        <f>18682</f>
        <v>18682</v>
      </c>
      <c r="S10" s="17">
        <f t="shared" si="7"/>
        <v>161147</v>
      </c>
      <c r="T10" s="213"/>
      <c r="U10" s="17">
        <v>27577</v>
      </c>
      <c r="V10" s="17">
        <v>31298</v>
      </c>
      <c r="W10" s="17">
        <v>24233</v>
      </c>
      <c r="X10" s="17">
        <v>30732</v>
      </c>
      <c r="Y10" s="17">
        <v>32988</v>
      </c>
      <c r="Z10" s="17">
        <v>26408</v>
      </c>
      <c r="AA10" s="17">
        <v>34308</v>
      </c>
      <c r="AB10" s="17">
        <v>32379</v>
      </c>
      <c r="AC10" s="17">
        <f t="shared" si="8"/>
        <v>239923</v>
      </c>
      <c r="AD10" s="17"/>
      <c r="AE10" s="17">
        <v>57431</v>
      </c>
      <c r="AF10" s="17">
        <v>72802</v>
      </c>
      <c r="AG10" s="17">
        <v>68970</v>
      </c>
      <c r="AH10" s="17">
        <v>67708</v>
      </c>
      <c r="AI10" s="17">
        <f t="shared" si="9"/>
        <v>266911</v>
      </c>
      <c r="AJ10" s="17"/>
      <c r="AK10" s="17">
        <v>74700</v>
      </c>
      <c r="AL10" s="28">
        <v>74139</v>
      </c>
      <c r="AM10" s="28">
        <v>76518</v>
      </c>
      <c r="AN10" s="28">
        <v>76555</v>
      </c>
      <c r="AO10" s="28">
        <v>91362</v>
      </c>
      <c r="AP10" s="18">
        <f t="shared" si="10"/>
        <v>393274</v>
      </c>
      <c r="AQ10" s="28"/>
      <c r="AR10" s="44">
        <f t="shared" si="11"/>
        <v>1729236</v>
      </c>
      <c r="AS10" s="30">
        <v>6.6000000000000003E-2</v>
      </c>
      <c r="AT10" s="44">
        <f t="shared" si="2"/>
        <v>114129.576</v>
      </c>
      <c r="AU10" s="60">
        <f t="shared" si="12"/>
        <v>1.2897587362807623</v>
      </c>
      <c r="AV10" s="60">
        <f t="shared" si="13"/>
        <v>257951.74725615248</v>
      </c>
      <c r="AW10" s="60">
        <f t="shared" si="14"/>
        <v>3908359.806911401</v>
      </c>
      <c r="AX10" s="11">
        <f t="shared" si="3"/>
        <v>10623.20207266239</v>
      </c>
      <c r="AY10" s="9"/>
      <c r="BA10" s="22">
        <f>[1]საპენსიო!D8</f>
        <v>117.69565217391305</v>
      </c>
      <c r="BB10" s="22">
        <f>[1]შშმპ!D11</f>
        <v>127.57627118644068</v>
      </c>
      <c r="BC10" s="23">
        <f t="shared" si="15"/>
        <v>122.63596168017686</v>
      </c>
      <c r="BD10" s="23">
        <f t="shared" si="16"/>
        <v>30.658990420044216</v>
      </c>
      <c r="BE10" s="23">
        <f t="shared" si="17"/>
        <v>367.90788504053057</v>
      </c>
      <c r="BF10" s="9"/>
      <c r="BG10" s="21">
        <v>1682441</v>
      </c>
      <c r="BH10" s="24">
        <f t="shared" si="4"/>
        <v>54875.942650089833</v>
      </c>
    </row>
    <row r="11" spans="1:60" ht="25.5" customHeight="1">
      <c r="A11" s="25">
        <v>8</v>
      </c>
      <c r="B11" s="25" t="s">
        <v>53</v>
      </c>
      <c r="C11" s="25" t="s">
        <v>54</v>
      </c>
      <c r="D11" s="33" t="s">
        <v>55</v>
      </c>
      <c r="E11" s="16">
        <f t="shared" si="0"/>
        <v>32143.4</v>
      </c>
      <c r="F11" s="16">
        <f t="shared" si="1"/>
        <v>38286.375</v>
      </c>
      <c r="G11" s="16">
        <f t="shared" si="5"/>
        <v>70734.5</v>
      </c>
      <c r="H11" s="16">
        <f t="shared" si="6"/>
        <v>79779</v>
      </c>
      <c r="I11" s="188"/>
      <c r="J11" s="188"/>
      <c r="K11" s="188"/>
      <c r="L11" s="188"/>
      <c r="M11" s="17">
        <v>37254</v>
      </c>
      <c r="N11" s="17">
        <v>49150</v>
      </c>
      <c r="O11" s="17">
        <f>668+13686+92+5642</f>
        <v>20088</v>
      </c>
      <c r="P11" s="17">
        <f>1102+11045+1028+18908</f>
        <v>32083</v>
      </c>
      <c r="Q11" s="17">
        <v>34438</v>
      </c>
      <c r="R11" s="17">
        <f>1174+18698+5086</f>
        <v>24958</v>
      </c>
      <c r="S11" s="17">
        <f t="shared" si="7"/>
        <v>197971</v>
      </c>
      <c r="T11" s="213"/>
      <c r="U11" s="17">
        <v>30837</v>
      </c>
      <c r="V11" s="17">
        <v>39593</v>
      </c>
      <c r="W11" s="17">
        <v>35795</v>
      </c>
      <c r="X11" s="17">
        <v>32955</v>
      </c>
      <c r="Y11" s="17">
        <v>48160</v>
      </c>
      <c r="Z11" s="17">
        <v>37230</v>
      </c>
      <c r="AA11" s="17">
        <v>39410</v>
      </c>
      <c r="AB11" s="17">
        <v>42311</v>
      </c>
      <c r="AC11" s="17">
        <f t="shared" si="8"/>
        <v>306291</v>
      </c>
      <c r="AD11" s="17"/>
      <c r="AE11" s="17">
        <v>66372</v>
      </c>
      <c r="AF11" s="17">
        <v>80964</v>
      </c>
      <c r="AG11" s="17">
        <v>75701</v>
      </c>
      <c r="AH11" s="17">
        <v>59901</v>
      </c>
      <c r="AI11" s="17">
        <f t="shared" si="9"/>
        <v>282938</v>
      </c>
      <c r="AJ11" s="17"/>
      <c r="AK11" s="17">
        <v>72905</v>
      </c>
      <c r="AL11" s="18">
        <v>81999</v>
      </c>
      <c r="AM11" s="18">
        <v>83146</v>
      </c>
      <c r="AN11" s="18">
        <v>81066</v>
      </c>
      <c r="AO11" s="18">
        <v>98328</v>
      </c>
      <c r="AP11" s="18">
        <f t="shared" si="10"/>
        <v>417444</v>
      </c>
      <c r="AQ11" s="18"/>
      <c r="AR11" s="44">
        <f t="shared" si="11"/>
        <v>1991844</v>
      </c>
      <c r="AS11" s="30">
        <v>0.155</v>
      </c>
      <c r="AT11" s="44">
        <f t="shared" si="2"/>
        <v>308735.82</v>
      </c>
      <c r="AU11" s="60">
        <f t="shared" si="12"/>
        <v>3.4889704755216555</v>
      </c>
      <c r="AV11" s="60">
        <f t="shared" si="13"/>
        <v>697794.09510433103</v>
      </c>
      <c r="AW11" s="60">
        <f t="shared" si="14"/>
        <v>4501897.3877698779</v>
      </c>
      <c r="AX11" s="11">
        <f t="shared" si="3"/>
        <v>18822.842981234873</v>
      </c>
      <c r="AY11" s="9"/>
      <c r="BA11" s="22">
        <f>[1]საპენსიო!D14</f>
        <v>77.405156537753228</v>
      </c>
      <c r="BB11" s="22">
        <f>[1]შშმპ!D14</f>
        <v>82.042857142857144</v>
      </c>
      <c r="BC11" s="23">
        <f t="shared" si="15"/>
        <v>79.724006840305179</v>
      </c>
      <c r="BD11" s="23">
        <f t="shared" si="16"/>
        <v>19.931001710076295</v>
      </c>
      <c r="BE11" s="23">
        <f t="shared" si="17"/>
        <v>239.17202052091554</v>
      </c>
      <c r="BF11" s="9"/>
      <c r="BG11" s="21">
        <v>124143</v>
      </c>
      <c r="BH11" s="24">
        <f t="shared" si="4"/>
        <v>6228.6382694572949</v>
      </c>
    </row>
    <row r="12" spans="1:60" ht="40.5" customHeight="1">
      <c r="A12" s="25">
        <v>9</v>
      </c>
      <c r="B12" s="25" t="s">
        <v>56</v>
      </c>
      <c r="C12" s="25" t="s">
        <v>57</v>
      </c>
      <c r="D12" s="33" t="s">
        <v>58</v>
      </c>
      <c r="E12" s="16">
        <f t="shared" si="0"/>
        <v>15407.6</v>
      </c>
      <c r="F12" s="16">
        <f t="shared" si="1"/>
        <v>17747.875</v>
      </c>
      <c r="G12" s="16">
        <f t="shared" si="5"/>
        <v>32779.25</v>
      </c>
      <c r="H12" s="16">
        <f t="shared" si="6"/>
        <v>34241.25</v>
      </c>
      <c r="I12" s="188"/>
      <c r="J12" s="188"/>
      <c r="K12" s="188"/>
      <c r="L12" s="188"/>
      <c r="M12" s="17">
        <v>39979</v>
      </c>
      <c r="N12" s="17">
        <f>2529+14404+837+2536</f>
        <v>20306</v>
      </c>
      <c r="O12" s="17">
        <f>1774+7298+1212+1147</f>
        <v>11431</v>
      </c>
      <c r="P12" s="17">
        <f>2120+11319+1962+1944</f>
        <v>17345</v>
      </c>
      <c r="Q12" s="17">
        <v>15502</v>
      </c>
      <c r="R12" s="17">
        <f>1800+7254+2436+964</f>
        <v>12454</v>
      </c>
      <c r="S12" s="17">
        <f t="shared" si="7"/>
        <v>117017</v>
      </c>
      <c r="T12" s="213"/>
      <c r="U12" s="17">
        <v>17248</v>
      </c>
      <c r="V12" s="17">
        <v>20487</v>
      </c>
      <c r="W12" s="17">
        <v>14079</v>
      </c>
      <c r="X12" s="17">
        <v>18864</v>
      </c>
      <c r="Y12" s="17">
        <v>19832</v>
      </c>
      <c r="Z12" s="17">
        <v>13412</v>
      </c>
      <c r="AA12" s="17">
        <v>19005</v>
      </c>
      <c r="AB12" s="17">
        <v>19056</v>
      </c>
      <c r="AC12" s="17">
        <f t="shared" si="8"/>
        <v>141983</v>
      </c>
      <c r="AD12" s="17"/>
      <c r="AE12" s="17">
        <v>32198</v>
      </c>
      <c r="AF12" s="17">
        <v>38592</v>
      </c>
      <c r="AG12" s="17">
        <v>33194</v>
      </c>
      <c r="AH12" s="17">
        <v>27133</v>
      </c>
      <c r="AI12" s="17">
        <f t="shared" si="9"/>
        <v>131117</v>
      </c>
      <c r="AJ12" s="17"/>
      <c r="AK12" s="17">
        <v>34869</v>
      </c>
      <c r="AL12" s="18">
        <v>37403</v>
      </c>
      <c r="AM12" s="18">
        <v>32044</v>
      </c>
      <c r="AN12" s="18">
        <v>32649</v>
      </c>
      <c r="AO12" s="18">
        <v>40360</v>
      </c>
      <c r="AP12" s="18">
        <f t="shared" si="10"/>
        <v>177325</v>
      </c>
      <c r="AQ12" s="18"/>
      <c r="AR12" s="44">
        <f t="shared" si="11"/>
        <v>957559</v>
      </c>
      <c r="AS12" s="30">
        <v>2.9399999999999999E-2</v>
      </c>
      <c r="AT12" s="44">
        <f t="shared" si="2"/>
        <v>28152.2346</v>
      </c>
      <c r="AU12" s="60">
        <f t="shared" si="12"/>
        <v>0.31814356798430193</v>
      </c>
      <c r="AV12" s="60">
        <f t="shared" si="13"/>
        <v>63628.713596860383</v>
      </c>
      <c r="AW12" s="60">
        <f t="shared" si="14"/>
        <v>2164241.9590768837</v>
      </c>
      <c r="AX12" s="11">
        <f t="shared" si="3"/>
        <v>9546.0475410047547</v>
      </c>
      <c r="AY12" s="9"/>
      <c r="BA12" s="22">
        <f>[1]საპენსიო!D9</f>
        <v>70.788461538461533</v>
      </c>
      <c r="BB12" s="22">
        <f>[1]შშმპ!D17</f>
        <v>80.355555555555554</v>
      </c>
      <c r="BC12" s="23">
        <f t="shared" si="15"/>
        <v>75.572008547008551</v>
      </c>
      <c r="BD12" s="23">
        <f t="shared" si="16"/>
        <v>18.893002136752138</v>
      </c>
      <c r="BE12" s="23">
        <f t="shared" si="17"/>
        <v>226.71602564102565</v>
      </c>
      <c r="BF12" s="9"/>
      <c r="BG12" s="21">
        <v>121039</v>
      </c>
      <c r="BH12" s="24">
        <f t="shared" si="4"/>
        <v>6406.5519669076584</v>
      </c>
    </row>
    <row r="13" spans="1:60" ht="37.5" customHeight="1">
      <c r="A13" s="25">
        <v>10</v>
      </c>
      <c r="B13" s="25" t="s">
        <v>59</v>
      </c>
      <c r="C13" s="25" t="s">
        <v>59</v>
      </c>
      <c r="D13" s="15" t="s">
        <v>60</v>
      </c>
      <c r="E13" s="16">
        <f t="shared" si="0"/>
        <v>8689.4</v>
      </c>
      <c r="F13" s="16">
        <f t="shared" si="1"/>
        <v>13555.5</v>
      </c>
      <c r="G13" s="16">
        <f t="shared" si="5"/>
        <v>24737.25</v>
      </c>
      <c r="H13" s="16">
        <f t="shared" si="6"/>
        <v>28414</v>
      </c>
      <c r="I13" s="188"/>
      <c r="J13" s="188"/>
      <c r="K13" s="188"/>
      <c r="L13" s="188"/>
      <c r="M13" s="17">
        <v>0</v>
      </c>
      <c r="N13" s="17">
        <v>0</v>
      </c>
      <c r="O13" s="17">
        <v>7868</v>
      </c>
      <c r="P13" s="17">
        <f>14375</f>
        <v>14375</v>
      </c>
      <c r="Q13" s="17">
        <v>11156</v>
      </c>
      <c r="R13" s="17">
        <f>10048</f>
        <v>10048</v>
      </c>
      <c r="S13" s="17">
        <f t="shared" si="7"/>
        <v>43447</v>
      </c>
      <c r="T13" s="213"/>
      <c r="U13" s="17">
        <v>12392</v>
      </c>
      <c r="V13" s="17">
        <v>14103</v>
      </c>
      <c r="W13" s="17">
        <v>13297</v>
      </c>
      <c r="X13" s="17">
        <v>12604</v>
      </c>
      <c r="Y13" s="17">
        <v>14359</v>
      </c>
      <c r="Z13" s="17">
        <v>12716</v>
      </c>
      <c r="AA13" s="17">
        <v>14051</v>
      </c>
      <c r="AB13" s="17">
        <v>14922</v>
      </c>
      <c r="AC13" s="17">
        <f t="shared" si="8"/>
        <v>108444</v>
      </c>
      <c r="AD13" s="17"/>
      <c r="AE13" s="17">
        <v>22164</v>
      </c>
      <c r="AF13" s="17">
        <v>27374</v>
      </c>
      <c r="AG13" s="17">
        <v>25245</v>
      </c>
      <c r="AH13" s="17">
        <v>24166</v>
      </c>
      <c r="AI13" s="17">
        <f t="shared" si="9"/>
        <v>98949</v>
      </c>
      <c r="AJ13" s="17"/>
      <c r="AK13" s="17">
        <v>27361</v>
      </c>
      <c r="AL13" s="18">
        <v>28311</v>
      </c>
      <c r="AM13" s="18">
        <v>29744</v>
      </c>
      <c r="AN13" s="18">
        <v>28240</v>
      </c>
      <c r="AO13" s="18">
        <v>39522</v>
      </c>
      <c r="AP13" s="18">
        <f t="shared" si="10"/>
        <v>153178</v>
      </c>
      <c r="AQ13" s="18"/>
      <c r="AR13" s="44">
        <f t="shared" si="11"/>
        <v>654858</v>
      </c>
      <c r="AS13" s="26">
        <v>6.1499999999999999E-2</v>
      </c>
      <c r="AT13" s="44">
        <f t="shared" si="2"/>
        <v>40273.767</v>
      </c>
      <c r="AU13" s="60">
        <f t="shared" si="12"/>
        <v>0.45512692372734187</v>
      </c>
      <c r="AV13" s="60">
        <f t="shared" si="13"/>
        <v>91025.384745468371</v>
      </c>
      <c r="AW13" s="60">
        <f t="shared" si="14"/>
        <v>1480087.556836884</v>
      </c>
      <c r="AX13" s="11">
        <f t="shared" si="3"/>
        <v>12486.234462957384</v>
      </c>
      <c r="AY13" s="9"/>
      <c r="BA13" s="22">
        <f>[1]საპენსიო!D16</f>
        <v>39.715504978662871</v>
      </c>
      <c r="BB13" s="22">
        <f>[1]შშმპ!D13</f>
        <v>39.30952380952381</v>
      </c>
      <c r="BC13" s="23">
        <f t="shared" si="15"/>
        <v>39.512514394093344</v>
      </c>
      <c r="BD13" s="23">
        <f t="shared" si="16"/>
        <v>9.878128598523336</v>
      </c>
      <c r="BE13" s="23">
        <f t="shared" si="17"/>
        <v>118.53754318228003</v>
      </c>
      <c r="BF13" s="9"/>
      <c r="BG13" s="21">
        <v>845871</v>
      </c>
      <c r="BH13" s="24">
        <f t="shared" si="4"/>
        <v>85630.693259697771</v>
      </c>
    </row>
    <row r="14" spans="1:60" ht="51" customHeight="1">
      <c r="A14" s="25">
        <v>11</v>
      </c>
      <c r="B14" s="25" t="s">
        <v>61</v>
      </c>
      <c r="C14" s="25" t="s">
        <v>62</v>
      </c>
      <c r="D14" s="15" t="s">
        <v>63</v>
      </c>
      <c r="E14" s="16">
        <f t="shared" si="0"/>
        <v>44384.4</v>
      </c>
      <c r="F14" s="16">
        <f t="shared" si="1"/>
        <v>58376</v>
      </c>
      <c r="G14" s="16">
        <f t="shared" si="5"/>
        <v>107546.25</v>
      </c>
      <c r="H14" s="16">
        <f t="shared" si="6"/>
        <v>119633.25</v>
      </c>
      <c r="I14" s="188"/>
      <c r="J14" s="188"/>
      <c r="K14" s="188"/>
      <c r="L14" s="188"/>
      <c r="M14" s="17">
        <v>116872</v>
      </c>
      <c r="N14" s="17">
        <v>54518</v>
      </c>
      <c r="O14" s="17">
        <f>368+9138+18725</f>
        <v>28231</v>
      </c>
      <c r="P14" s="17">
        <f>504+13261+39087</f>
        <v>52852</v>
      </c>
      <c r="Q14" s="17">
        <v>49931</v>
      </c>
      <c r="R14" s="17">
        <f>10476+25914</f>
        <v>36390</v>
      </c>
      <c r="S14" s="17">
        <f t="shared" si="7"/>
        <v>338794</v>
      </c>
      <c r="T14" s="213"/>
      <c r="U14" s="17">
        <v>53175</v>
      </c>
      <c r="V14" s="17">
        <v>16046</v>
      </c>
      <c r="W14" s="17">
        <v>97151</v>
      </c>
      <c r="X14" s="17">
        <v>57469</v>
      </c>
      <c r="Y14" s="17">
        <v>66296</v>
      </c>
      <c r="Z14" s="17">
        <v>51563</v>
      </c>
      <c r="AA14" s="17">
        <v>64649</v>
      </c>
      <c r="AB14" s="17">
        <v>60659</v>
      </c>
      <c r="AC14" s="17">
        <f t="shared" si="8"/>
        <v>467008</v>
      </c>
      <c r="AD14" s="17"/>
      <c r="AE14" s="17">
        <v>97657</v>
      </c>
      <c r="AF14" s="17">
        <v>118246</v>
      </c>
      <c r="AG14" s="17">
        <v>107252</v>
      </c>
      <c r="AH14" s="17">
        <v>107030</v>
      </c>
      <c r="AI14" s="17">
        <f t="shared" si="9"/>
        <v>430185</v>
      </c>
      <c r="AJ14" s="17"/>
      <c r="AK14" s="17">
        <v>117604</v>
      </c>
      <c r="AL14" s="18">
        <v>114148</v>
      </c>
      <c r="AM14" s="18">
        <v>124387</v>
      </c>
      <c r="AN14" s="18">
        <v>122394</v>
      </c>
      <c r="AO14" s="18">
        <v>150475</v>
      </c>
      <c r="AP14" s="18">
        <f t="shared" si="10"/>
        <v>629008</v>
      </c>
      <c r="AQ14" s="18"/>
      <c r="AR14" s="44">
        <f t="shared" si="11"/>
        <v>3100982</v>
      </c>
      <c r="AS14" s="26">
        <v>0.1205</v>
      </c>
      <c r="AT14" s="44">
        <f t="shared" si="2"/>
        <v>373668.33100000001</v>
      </c>
      <c r="AU14" s="60">
        <f t="shared" si="12"/>
        <v>4.2227616299801349</v>
      </c>
      <c r="AV14" s="60">
        <f t="shared" si="13"/>
        <v>844552.32599602698</v>
      </c>
      <c r="AW14" s="60">
        <f t="shared" si="14"/>
        <v>7008732.995817652</v>
      </c>
      <c r="AX14" s="11">
        <f t="shared" si="3"/>
        <v>23708.534901202111</v>
      </c>
      <c r="AY14" s="9"/>
      <c r="BA14" s="22">
        <f>[1]საპენსიო!D10</f>
        <v>93.378066378066379</v>
      </c>
      <c r="BB14" s="22">
        <f>[1]შშმპ!D12</f>
        <v>103.70238095238095</v>
      </c>
      <c r="BC14" s="23">
        <f t="shared" si="15"/>
        <v>98.540223665223664</v>
      </c>
      <c r="BD14" s="23">
        <f t="shared" si="16"/>
        <v>24.635055916305916</v>
      </c>
      <c r="BE14" s="23">
        <f t="shared" si="17"/>
        <v>295.62067099567099</v>
      </c>
      <c r="BF14" s="9"/>
      <c r="BG14" s="21">
        <v>759525</v>
      </c>
      <c r="BH14" s="24">
        <f t="shared" si="4"/>
        <v>30831.064584565091</v>
      </c>
    </row>
    <row r="15" spans="1:60" ht="46.5" customHeight="1">
      <c r="A15" s="25">
        <v>12</v>
      </c>
      <c r="B15" s="25" t="s">
        <v>64</v>
      </c>
      <c r="C15" s="25" t="s">
        <v>65</v>
      </c>
      <c r="D15" s="33" t="s">
        <v>66</v>
      </c>
      <c r="E15" s="16">
        <f t="shared" si="0"/>
        <v>48634.2</v>
      </c>
      <c r="F15" s="16">
        <f t="shared" si="1"/>
        <v>66894.25</v>
      </c>
      <c r="G15" s="16">
        <f t="shared" si="5"/>
        <v>100176.75</v>
      </c>
      <c r="H15" s="16">
        <f t="shared" si="6"/>
        <v>128898.75</v>
      </c>
      <c r="I15" s="188"/>
      <c r="J15" s="188"/>
      <c r="K15" s="188"/>
      <c r="L15" s="188"/>
      <c r="M15" s="17">
        <v>70352</v>
      </c>
      <c r="N15" s="17">
        <f>57648</f>
        <v>57648</v>
      </c>
      <c r="O15" s="17">
        <f>32988</f>
        <v>32988</v>
      </c>
      <c r="P15" s="17">
        <f>52491</f>
        <v>52491</v>
      </c>
      <c r="Q15" s="17">
        <v>57398</v>
      </c>
      <c r="R15" s="17">
        <f>42646</f>
        <v>42646</v>
      </c>
      <c r="S15" s="17">
        <f t="shared" si="7"/>
        <v>313523</v>
      </c>
      <c r="T15" s="213"/>
      <c r="U15" s="17">
        <v>55777</v>
      </c>
      <c r="V15" s="17">
        <v>67473</v>
      </c>
      <c r="W15" s="17">
        <v>63449</v>
      </c>
      <c r="X15" s="17">
        <v>61564</v>
      </c>
      <c r="Y15" s="17">
        <v>82603</v>
      </c>
      <c r="Z15" s="17">
        <v>62189</v>
      </c>
      <c r="AA15" s="17">
        <v>68137</v>
      </c>
      <c r="AB15" s="17">
        <v>73962</v>
      </c>
      <c r="AC15" s="17">
        <f t="shared" si="8"/>
        <v>535154</v>
      </c>
      <c r="AD15" s="17"/>
      <c r="AE15" s="17">
        <v>131382</v>
      </c>
      <c r="AF15" s="17">
        <v>164451</v>
      </c>
      <c r="AG15" s="17">
        <v>89377</v>
      </c>
      <c r="AH15" s="17">
        <v>15497</v>
      </c>
      <c r="AI15" s="17">
        <f t="shared" si="9"/>
        <v>400707</v>
      </c>
      <c r="AJ15" s="17"/>
      <c r="AK15" s="17">
        <v>88710</v>
      </c>
      <c r="AL15" s="18">
        <v>128733</v>
      </c>
      <c r="AM15" s="18">
        <v>149378</v>
      </c>
      <c r="AN15" s="18">
        <v>148774</v>
      </c>
      <c r="AO15" s="18">
        <v>155852</v>
      </c>
      <c r="AP15" s="18">
        <f t="shared" si="10"/>
        <v>671447</v>
      </c>
      <c r="AQ15" s="18"/>
      <c r="AR15" s="44">
        <f t="shared" si="11"/>
        <v>3170215</v>
      </c>
      <c r="AS15" s="34">
        <v>0.09</v>
      </c>
      <c r="AT15" s="44">
        <f t="shared" si="2"/>
        <v>285319.34999999998</v>
      </c>
      <c r="AU15" s="60">
        <f t="shared" si="12"/>
        <v>3.2243449699002515</v>
      </c>
      <c r="AV15" s="60">
        <f t="shared" si="13"/>
        <v>644868.99398005032</v>
      </c>
      <c r="AW15" s="60">
        <f t="shared" si="14"/>
        <v>7165211.0442227814</v>
      </c>
      <c r="AX15" s="11">
        <f t="shared" si="3"/>
        <v>32823.256468521045</v>
      </c>
      <c r="AY15" s="9"/>
      <c r="BA15" s="22">
        <f>[1]საპენსიო!D12</f>
        <v>70.693345742205679</v>
      </c>
      <c r="BB15" s="22">
        <f>[1]შშმპ!D7</f>
        <v>74.837837837837839</v>
      </c>
      <c r="BC15" s="23">
        <f t="shared" si="15"/>
        <v>72.765591790021759</v>
      </c>
      <c r="BD15" s="23">
        <f t="shared" si="16"/>
        <v>18.19139794750544</v>
      </c>
      <c r="BE15" s="23">
        <f t="shared" si="17"/>
        <v>218.29677537006529</v>
      </c>
      <c r="BF15" s="9"/>
      <c r="BG15" s="21">
        <v>156923</v>
      </c>
      <c r="BH15" s="24">
        <f t="shared" si="4"/>
        <v>8626.219955873079</v>
      </c>
    </row>
    <row r="16" spans="1:60" ht="46.5" customHeight="1">
      <c r="A16" s="25">
        <v>13</v>
      </c>
      <c r="B16" s="25" t="s">
        <v>67</v>
      </c>
      <c r="C16" s="25" t="s">
        <v>67</v>
      </c>
      <c r="D16" s="33" t="s">
        <v>68</v>
      </c>
      <c r="E16" s="16"/>
      <c r="F16" s="16"/>
      <c r="G16" s="16">
        <f t="shared" si="5"/>
        <v>99656.5</v>
      </c>
      <c r="H16" s="16">
        <f t="shared" si="6"/>
        <v>67065.75</v>
      </c>
      <c r="I16" s="188"/>
      <c r="J16" s="188"/>
      <c r="K16" s="188"/>
      <c r="L16" s="188"/>
      <c r="M16" s="17"/>
      <c r="N16" s="17"/>
      <c r="O16" s="17"/>
      <c r="P16" s="17"/>
      <c r="Q16" s="17"/>
      <c r="R16" s="17"/>
      <c r="S16" s="17">
        <f t="shared" si="7"/>
        <v>0</v>
      </c>
      <c r="T16" s="213"/>
      <c r="U16" s="17"/>
      <c r="V16" s="17"/>
      <c r="W16" s="17"/>
      <c r="X16" s="17"/>
      <c r="Y16" s="17"/>
      <c r="Z16" s="17"/>
      <c r="AA16" s="17"/>
      <c r="AB16" s="17"/>
      <c r="AC16" s="17">
        <f t="shared" si="8"/>
        <v>0</v>
      </c>
      <c r="AD16" s="17"/>
      <c r="AE16" s="17"/>
      <c r="AF16" s="17"/>
      <c r="AG16" s="17">
        <v>0</v>
      </c>
      <c r="AH16" s="17">
        <v>199313</v>
      </c>
      <c r="AI16" s="17">
        <f t="shared" si="9"/>
        <v>199313</v>
      </c>
      <c r="AJ16" s="17"/>
      <c r="AK16" s="17">
        <v>138489</v>
      </c>
      <c r="AL16" s="18">
        <v>43957</v>
      </c>
      <c r="AM16" s="18">
        <v>53947</v>
      </c>
      <c r="AN16" s="18">
        <v>31870</v>
      </c>
      <c r="AO16" s="18">
        <v>55468</v>
      </c>
      <c r="AP16" s="18">
        <f t="shared" si="10"/>
        <v>323731</v>
      </c>
      <c r="AQ16" s="18"/>
      <c r="AR16" s="44">
        <f t="shared" si="11"/>
        <v>722357</v>
      </c>
      <c r="AS16" s="34">
        <v>0.105</v>
      </c>
      <c r="AT16" s="44">
        <f t="shared" si="2"/>
        <v>75847.485000000001</v>
      </c>
      <c r="AU16" s="60">
        <f t="shared" si="12"/>
        <v>0.85713940095312435</v>
      </c>
      <c r="AV16" s="60">
        <f t="shared" si="13"/>
        <v>171427.88019062486</v>
      </c>
      <c r="AW16" s="60">
        <f t="shared" si="14"/>
        <v>1632646.478005951</v>
      </c>
      <c r="AX16" s="11">
        <f t="shared" si="3"/>
        <v>5540.4390075615083</v>
      </c>
      <c r="AY16" s="9"/>
      <c r="BA16" s="22">
        <f>[1]საპენსიო!D11</f>
        <v>97.300604229607245</v>
      </c>
      <c r="BB16" s="22">
        <f>[1]შშმპ!D6</f>
        <v>99.151515151515156</v>
      </c>
      <c r="BC16" s="23">
        <f t="shared" si="15"/>
        <v>98.2260596905612</v>
      </c>
      <c r="BD16" s="23">
        <f t="shared" si="16"/>
        <v>24.5565149226403</v>
      </c>
      <c r="BE16" s="23">
        <f t="shared" si="17"/>
        <v>294.67817907168359</v>
      </c>
      <c r="BF16" s="9"/>
      <c r="BG16" s="21">
        <v>1735389</v>
      </c>
      <c r="BH16" s="24">
        <f t="shared" si="4"/>
        <v>70669.189234178673</v>
      </c>
    </row>
    <row r="17" spans="1:60" ht="46.5" customHeight="1">
      <c r="A17" s="25">
        <v>14</v>
      </c>
      <c r="B17" s="25" t="s">
        <v>69</v>
      </c>
      <c r="C17" s="25" t="s">
        <v>70</v>
      </c>
      <c r="D17" s="33" t="s">
        <v>71</v>
      </c>
      <c r="E17" s="16"/>
      <c r="F17" s="16"/>
      <c r="G17" s="16">
        <f t="shared" si="5"/>
        <v>5203.5</v>
      </c>
      <c r="H17" s="16">
        <f t="shared" si="6"/>
        <v>13615.75</v>
      </c>
      <c r="I17" s="188"/>
      <c r="J17" s="188"/>
      <c r="K17" s="188"/>
      <c r="L17" s="188"/>
      <c r="M17" s="17"/>
      <c r="N17" s="17"/>
      <c r="O17" s="17"/>
      <c r="P17" s="17"/>
      <c r="Q17" s="17"/>
      <c r="R17" s="17"/>
      <c r="S17" s="17">
        <f t="shared" si="7"/>
        <v>0</v>
      </c>
      <c r="T17" s="213"/>
      <c r="U17" s="17"/>
      <c r="V17" s="17"/>
      <c r="W17" s="17"/>
      <c r="X17" s="17"/>
      <c r="Y17" s="17"/>
      <c r="Z17" s="17"/>
      <c r="AA17" s="17"/>
      <c r="AB17" s="17"/>
      <c r="AC17" s="17">
        <f t="shared" si="8"/>
        <v>0</v>
      </c>
      <c r="AD17" s="17"/>
      <c r="AE17" s="17"/>
      <c r="AF17" s="17"/>
      <c r="AG17" s="17">
        <v>0</v>
      </c>
      <c r="AH17" s="17">
        <v>10407</v>
      </c>
      <c r="AI17" s="17">
        <f t="shared" si="9"/>
        <v>10407</v>
      </c>
      <c r="AJ17" s="17"/>
      <c r="AK17" s="17">
        <v>11936</v>
      </c>
      <c r="AL17" s="18">
        <v>13690</v>
      </c>
      <c r="AM17" s="18">
        <v>14570</v>
      </c>
      <c r="AN17" s="18">
        <v>14267</v>
      </c>
      <c r="AO17" s="18">
        <v>26388</v>
      </c>
      <c r="AP17" s="18">
        <f t="shared" si="10"/>
        <v>80851</v>
      </c>
      <c r="AQ17" s="18"/>
      <c r="AR17" s="44">
        <f t="shared" si="11"/>
        <v>101665</v>
      </c>
      <c r="AS17" s="35">
        <v>0.23400000000000001</v>
      </c>
      <c r="AT17" s="44">
        <f t="shared" si="2"/>
        <v>23789.61</v>
      </c>
      <c r="AU17" s="60">
        <f t="shared" si="12"/>
        <v>0.26884229667349491</v>
      </c>
      <c r="AV17" s="60">
        <f t="shared" si="13"/>
        <v>53768.459334698979</v>
      </c>
      <c r="AW17" s="60">
        <f t="shared" si="14"/>
        <v>229779.7407465768</v>
      </c>
      <c r="AX17" s="11">
        <f t="shared" si="3"/>
        <v>2183.9706800678814</v>
      </c>
      <c r="AY17" s="9"/>
      <c r="BA17" s="22">
        <f>[1]საპენსიო!D13</f>
        <v>37.95945945945946</v>
      </c>
      <c r="BB17" s="22">
        <f>[1]შშმპ!D8</f>
        <v>32.18181818181818</v>
      </c>
      <c r="BC17" s="23">
        <f t="shared" si="15"/>
        <v>35.07063882063882</v>
      </c>
      <c r="BD17" s="23">
        <f t="shared" si="16"/>
        <v>8.7676597051597049</v>
      </c>
      <c r="BE17" s="23">
        <f t="shared" si="17"/>
        <v>105.21191646191646</v>
      </c>
      <c r="BF17" s="9"/>
      <c r="BG17" s="21">
        <v>408402</v>
      </c>
      <c r="BH17" s="24">
        <f t="shared" si="4"/>
        <v>46580.503091339</v>
      </c>
    </row>
    <row r="18" spans="1:60" ht="46.5" customHeight="1">
      <c r="A18" s="25">
        <v>15</v>
      </c>
      <c r="B18" s="36" t="s">
        <v>72</v>
      </c>
      <c r="C18" s="25" t="s">
        <v>73</v>
      </c>
      <c r="D18" s="33" t="s">
        <v>60</v>
      </c>
      <c r="E18" s="16"/>
      <c r="F18" s="16"/>
      <c r="G18" s="16">
        <f t="shared" si="5"/>
        <v>0</v>
      </c>
      <c r="H18" s="16">
        <f t="shared" si="6"/>
        <v>22701.5</v>
      </c>
      <c r="I18" s="188"/>
      <c r="J18" s="188"/>
      <c r="K18" s="188"/>
      <c r="L18" s="188"/>
      <c r="M18" s="17"/>
      <c r="N18" s="17"/>
      <c r="O18" s="17"/>
      <c r="P18" s="17"/>
      <c r="Q18" s="17"/>
      <c r="R18" s="17"/>
      <c r="S18" s="17">
        <f t="shared" si="7"/>
        <v>0</v>
      </c>
      <c r="T18" s="213"/>
      <c r="U18" s="17"/>
      <c r="V18" s="17"/>
      <c r="W18" s="17"/>
      <c r="X18" s="17"/>
      <c r="Y18" s="17"/>
      <c r="Z18" s="17"/>
      <c r="AA18" s="17"/>
      <c r="AB18" s="17"/>
      <c r="AC18" s="17">
        <f t="shared" si="8"/>
        <v>0</v>
      </c>
      <c r="AD18" s="17"/>
      <c r="AE18" s="17"/>
      <c r="AF18" s="17"/>
      <c r="AG18" s="17"/>
      <c r="AH18" s="17">
        <v>0</v>
      </c>
      <c r="AI18" s="17">
        <f t="shared" si="9"/>
        <v>0</v>
      </c>
      <c r="AJ18" s="17"/>
      <c r="AK18" s="17">
        <v>9963</v>
      </c>
      <c r="AL18" s="18">
        <v>21402</v>
      </c>
      <c r="AM18" s="18">
        <v>23577</v>
      </c>
      <c r="AN18" s="18">
        <v>35864</v>
      </c>
      <c r="AO18" s="18">
        <v>52134</v>
      </c>
      <c r="AP18" s="18">
        <f t="shared" si="10"/>
        <v>142940</v>
      </c>
      <c r="AQ18" s="18"/>
      <c r="AR18" s="44">
        <f t="shared" si="11"/>
        <v>142940</v>
      </c>
      <c r="AS18" s="34">
        <v>0.316</v>
      </c>
      <c r="AT18" s="44">
        <f t="shared" si="2"/>
        <v>45169.04</v>
      </c>
      <c r="AU18" s="60">
        <f t="shared" si="12"/>
        <v>0.51044756312259676</v>
      </c>
      <c r="AV18" s="60">
        <f t="shared" si="13"/>
        <v>102089.51262451935</v>
      </c>
      <c r="AW18" s="60">
        <f t="shared" si="14"/>
        <v>323068.07792569418</v>
      </c>
      <c r="AX18" s="11">
        <f t="shared" si="3"/>
        <v>3589.6453102854907</v>
      </c>
      <c r="AY18" s="9"/>
      <c r="BA18" s="22"/>
      <c r="BB18" s="22">
        <f>[1]შშმპ!D28</f>
        <v>30</v>
      </c>
      <c r="BC18" s="23">
        <f t="shared" si="15"/>
        <v>30</v>
      </c>
      <c r="BD18" s="23">
        <f t="shared" si="16"/>
        <v>7.5</v>
      </c>
      <c r="BE18" s="23">
        <f t="shared" si="17"/>
        <v>90</v>
      </c>
      <c r="BF18" s="9"/>
      <c r="BG18" s="21">
        <v>743338</v>
      </c>
      <c r="BH18" s="24">
        <f t="shared" si="4"/>
        <v>99111.733333333337</v>
      </c>
    </row>
    <row r="19" spans="1:60" ht="46.5" customHeight="1">
      <c r="A19" s="25">
        <v>16</v>
      </c>
      <c r="B19" s="36" t="s">
        <v>74</v>
      </c>
      <c r="C19" s="25" t="s">
        <v>75</v>
      </c>
      <c r="D19" s="33" t="s">
        <v>60</v>
      </c>
      <c r="E19" s="16"/>
      <c r="F19" s="16"/>
      <c r="G19" s="16">
        <f t="shared" si="5"/>
        <v>92</v>
      </c>
      <c r="H19" s="16">
        <f t="shared" si="6"/>
        <v>41466.75</v>
      </c>
      <c r="I19" s="188"/>
      <c r="J19" s="188"/>
      <c r="K19" s="188"/>
      <c r="L19" s="188"/>
      <c r="M19" s="17"/>
      <c r="N19" s="17"/>
      <c r="O19" s="17"/>
      <c r="P19" s="17"/>
      <c r="Q19" s="17"/>
      <c r="R19" s="17"/>
      <c r="S19" s="17">
        <f t="shared" si="7"/>
        <v>0</v>
      </c>
      <c r="T19" s="213"/>
      <c r="U19" s="17"/>
      <c r="V19" s="17"/>
      <c r="W19" s="17"/>
      <c r="X19" s="17"/>
      <c r="Y19" s="17"/>
      <c r="Z19" s="17"/>
      <c r="AA19" s="17"/>
      <c r="AB19" s="17"/>
      <c r="AC19" s="17">
        <f t="shared" si="8"/>
        <v>0</v>
      </c>
      <c r="AD19" s="17"/>
      <c r="AE19" s="17"/>
      <c r="AF19" s="17"/>
      <c r="AG19" s="17"/>
      <c r="AH19" s="17">
        <v>92</v>
      </c>
      <c r="AI19" s="17">
        <f t="shared" si="9"/>
        <v>92</v>
      </c>
      <c r="AJ19" s="17"/>
      <c r="AK19" s="17">
        <v>18621</v>
      </c>
      <c r="AL19" s="18">
        <v>37794</v>
      </c>
      <c r="AM19" s="18">
        <v>50309</v>
      </c>
      <c r="AN19" s="18">
        <v>59143</v>
      </c>
      <c r="AO19" s="18">
        <v>92878</v>
      </c>
      <c r="AP19" s="18">
        <f t="shared" si="10"/>
        <v>258745</v>
      </c>
      <c r="AQ19" s="18"/>
      <c r="AR19" s="44">
        <f t="shared" si="11"/>
        <v>258929</v>
      </c>
      <c r="AS19" s="34">
        <v>0.38</v>
      </c>
      <c r="AT19" s="44">
        <f t="shared" si="2"/>
        <v>98393.02</v>
      </c>
      <c r="AU19" s="60">
        <f t="shared" si="12"/>
        <v>1.111922619725213</v>
      </c>
      <c r="AV19" s="60">
        <f t="shared" si="13"/>
        <v>222384.5239450426</v>
      </c>
      <c r="AW19" s="60">
        <f t="shared" si="14"/>
        <v>585222.43143432261</v>
      </c>
      <c r="AY19" s="9"/>
      <c r="BA19" s="22"/>
      <c r="BB19" s="22"/>
      <c r="BC19" s="23"/>
      <c r="BD19" s="23">
        <f t="shared" si="16"/>
        <v>0</v>
      </c>
      <c r="BE19" s="23">
        <f t="shared" si="17"/>
        <v>0</v>
      </c>
      <c r="BF19" s="9"/>
      <c r="BG19" s="21">
        <v>851106</v>
      </c>
    </row>
    <row r="20" spans="1:60" ht="46.5" customHeight="1">
      <c r="A20" s="25">
        <v>18</v>
      </c>
      <c r="B20" s="36" t="s">
        <v>76</v>
      </c>
      <c r="C20" s="25" t="s">
        <v>77</v>
      </c>
      <c r="D20" s="33" t="s">
        <v>78</v>
      </c>
      <c r="E20" s="16"/>
      <c r="F20" s="16"/>
      <c r="G20" s="16">
        <f t="shared" si="5"/>
        <v>14476</v>
      </c>
      <c r="H20" s="16">
        <f t="shared" si="6"/>
        <v>83265.75</v>
      </c>
      <c r="I20" s="188"/>
      <c r="J20" s="188"/>
      <c r="K20" s="188"/>
      <c r="L20" s="188"/>
      <c r="M20" s="17"/>
      <c r="N20" s="17"/>
      <c r="O20" s="17"/>
      <c r="P20" s="17"/>
      <c r="Q20" s="17"/>
      <c r="R20" s="17"/>
      <c r="S20" s="17">
        <f t="shared" si="7"/>
        <v>0</v>
      </c>
      <c r="T20" s="213"/>
      <c r="U20" s="17"/>
      <c r="V20" s="17"/>
      <c r="W20" s="17"/>
      <c r="X20" s="17"/>
      <c r="Y20" s="17"/>
      <c r="Z20" s="17"/>
      <c r="AA20" s="17"/>
      <c r="AB20" s="17"/>
      <c r="AC20" s="17">
        <f t="shared" si="8"/>
        <v>0</v>
      </c>
      <c r="AD20" s="17"/>
      <c r="AE20" s="17"/>
      <c r="AF20" s="17"/>
      <c r="AG20" s="17"/>
      <c r="AH20" s="17">
        <v>14476</v>
      </c>
      <c r="AI20" s="17">
        <f t="shared" si="9"/>
        <v>14476</v>
      </c>
      <c r="AJ20" s="17"/>
      <c r="AK20" s="17">
        <v>64466</v>
      </c>
      <c r="AL20" s="18">
        <v>102410</v>
      </c>
      <c r="AM20" s="18">
        <v>128627</v>
      </c>
      <c r="AN20" s="18">
        <v>37560</v>
      </c>
      <c r="AO20" s="18">
        <v>1494</v>
      </c>
      <c r="AP20" s="18">
        <f t="shared" si="10"/>
        <v>334557</v>
      </c>
      <c r="AQ20" s="18"/>
      <c r="AR20" s="44">
        <f t="shared" si="11"/>
        <v>363509</v>
      </c>
      <c r="AS20" s="26">
        <v>6.7500000000000004E-2</v>
      </c>
      <c r="AT20" s="44">
        <f t="shared" si="2"/>
        <v>24536.857500000002</v>
      </c>
      <c r="AU20" s="60">
        <f t="shared" si="12"/>
        <v>0.27728681232900704</v>
      </c>
      <c r="AV20" s="60">
        <f t="shared" si="13"/>
        <v>55457.362465801409</v>
      </c>
      <c r="AW20" s="60">
        <f t="shared" si="14"/>
        <v>821590.55504890974</v>
      </c>
      <c r="AY20" s="9"/>
      <c r="BA20" s="22"/>
      <c r="BB20" s="22"/>
      <c r="BC20" s="23"/>
      <c r="BD20" s="23">
        <f t="shared" si="16"/>
        <v>0</v>
      </c>
      <c r="BE20" s="23">
        <f t="shared" si="17"/>
        <v>0</v>
      </c>
      <c r="BF20" s="9"/>
      <c r="BG20" s="21">
        <v>1812679</v>
      </c>
    </row>
    <row r="21" spans="1:60" ht="46.5" customHeight="1">
      <c r="A21" s="25">
        <v>19</v>
      </c>
      <c r="B21" s="36" t="s">
        <v>79</v>
      </c>
      <c r="C21" s="25" t="s">
        <v>80</v>
      </c>
      <c r="D21" s="33" t="s">
        <v>81</v>
      </c>
      <c r="E21" s="16"/>
      <c r="F21" s="16"/>
      <c r="G21" s="16">
        <f t="shared" si="5"/>
        <v>152</v>
      </c>
      <c r="H21" s="16">
        <f t="shared" si="6"/>
        <v>34770.75</v>
      </c>
      <c r="I21" s="188"/>
      <c r="J21" s="188"/>
      <c r="K21" s="188"/>
      <c r="L21" s="188"/>
      <c r="M21" s="17"/>
      <c r="N21" s="17"/>
      <c r="O21" s="17"/>
      <c r="P21" s="17"/>
      <c r="Q21" s="17"/>
      <c r="R21" s="17"/>
      <c r="S21" s="17">
        <f t="shared" si="7"/>
        <v>0</v>
      </c>
      <c r="T21" s="213"/>
      <c r="U21" s="17"/>
      <c r="V21" s="17"/>
      <c r="W21" s="17"/>
      <c r="X21" s="17"/>
      <c r="Y21" s="17"/>
      <c r="Z21" s="17"/>
      <c r="AA21" s="17"/>
      <c r="AB21" s="17"/>
      <c r="AC21" s="17">
        <f t="shared" si="8"/>
        <v>0</v>
      </c>
      <c r="AD21" s="17"/>
      <c r="AE21" s="17"/>
      <c r="AF21" s="17"/>
      <c r="AG21" s="17"/>
      <c r="AH21" s="17">
        <v>152</v>
      </c>
      <c r="AI21" s="17">
        <f t="shared" si="9"/>
        <v>152</v>
      </c>
      <c r="AJ21" s="17"/>
      <c r="AK21" s="17">
        <v>19619</v>
      </c>
      <c r="AL21" s="18">
        <v>36603</v>
      </c>
      <c r="AM21" s="18">
        <v>40167</v>
      </c>
      <c r="AN21" s="18">
        <v>42694</v>
      </c>
      <c r="AO21" s="18">
        <v>36242</v>
      </c>
      <c r="AP21" s="18">
        <f t="shared" si="10"/>
        <v>175325</v>
      </c>
      <c r="AQ21" s="18"/>
      <c r="AR21" s="44">
        <f t="shared" si="11"/>
        <v>175629</v>
      </c>
      <c r="AS21" s="34">
        <v>0.06</v>
      </c>
      <c r="AT21" s="44">
        <f t="shared" si="2"/>
        <v>10537.74</v>
      </c>
      <c r="AU21" s="60">
        <f t="shared" si="12"/>
        <v>0.11908518985171065</v>
      </c>
      <c r="AV21" s="60">
        <f t="shared" si="13"/>
        <v>23817.037970342135</v>
      </c>
      <c r="AW21" s="60">
        <f t="shared" si="14"/>
        <v>396950.63283903559</v>
      </c>
      <c r="AX21" s="11">
        <f t="shared" ref="AX21:AX32" si="18">AW21/BE21</f>
        <v>2169.129141196916</v>
      </c>
      <c r="AY21" s="9"/>
      <c r="BA21" s="22">
        <f>[1]საპენსიო!D29</f>
        <v>61</v>
      </c>
      <c r="BB21" s="22"/>
      <c r="BC21" s="23">
        <f t="shared" si="15"/>
        <v>61</v>
      </c>
      <c r="BD21" s="23">
        <f t="shared" si="16"/>
        <v>15.25</v>
      </c>
      <c r="BE21" s="23">
        <f t="shared" si="17"/>
        <v>183</v>
      </c>
      <c r="BF21" s="9"/>
      <c r="BG21" s="21">
        <v>1501133</v>
      </c>
    </row>
    <row r="22" spans="1:60" ht="46.5" customHeight="1">
      <c r="A22" s="25">
        <v>20</v>
      </c>
      <c r="B22" s="36" t="s">
        <v>82</v>
      </c>
      <c r="C22" s="36" t="s">
        <v>83</v>
      </c>
      <c r="D22" s="33" t="s">
        <v>78</v>
      </c>
      <c r="E22" s="16"/>
      <c r="F22" s="16"/>
      <c r="G22" s="16">
        <f t="shared" si="5"/>
        <v>5620</v>
      </c>
      <c r="H22" s="16">
        <f t="shared" si="6"/>
        <v>35194.75</v>
      </c>
      <c r="I22" s="188"/>
      <c r="J22" s="188"/>
      <c r="K22" s="188"/>
      <c r="L22" s="188"/>
      <c r="M22" s="17"/>
      <c r="N22" s="17"/>
      <c r="O22" s="17"/>
      <c r="P22" s="17"/>
      <c r="Q22" s="17"/>
      <c r="R22" s="17"/>
      <c r="S22" s="17">
        <f t="shared" si="7"/>
        <v>0</v>
      </c>
      <c r="T22" s="213"/>
      <c r="U22" s="17"/>
      <c r="V22" s="17"/>
      <c r="W22" s="17"/>
      <c r="X22" s="17"/>
      <c r="Y22" s="17"/>
      <c r="Z22" s="17"/>
      <c r="AA22" s="17"/>
      <c r="AB22" s="17"/>
      <c r="AC22" s="17">
        <f t="shared" si="8"/>
        <v>0</v>
      </c>
      <c r="AD22" s="17"/>
      <c r="AE22" s="17"/>
      <c r="AF22" s="17"/>
      <c r="AG22" s="17"/>
      <c r="AH22" s="17">
        <v>5620</v>
      </c>
      <c r="AI22" s="17">
        <f t="shared" si="9"/>
        <v>5620</v>
      </c>
      <c r="AJ22" s="17"/>
      <c r="AK22" s="17">
        <v>23666</v>
      </c>
      <c r="AL22" s="18">
        <v>35141</v>
      </c>
      <c r="AM22" s="18">
        <v>40081</v>
      </c>
      <c r="AN22" s="18">
        <v>41891</v>
      </c>
      <c r="AO22" s="18">
        <v>60190</v>
      </c>
      <c r="AP22" s="18">
        <f t="shared" si="10"/>
        <v>200969</v>
      </c>
      <c r="AQ22" s="18"/>
      <c r="AR22" s="44">
        <f t="shared" si="11"/>
        <v>212209</v>
      </c>
      <c r="AS22" s="35">
        <v>0.14899999999999999</v>
      </c>
      <c r="AT22" s="44">
        <f t="shared" si="2"/>
        <v>31619.141</v>
      </c>
      <c r="AU22" s="60">
        <f t="shared" si="12"/>
        <v>0.35732248175918258</v>
      </c>
      <c r="AV22" s="60">
        <f t="shared" si="13"/>
        <v>71464.496351836526</v>
      </c>
      <c r="AW22" s="60">
        <f t="shared" si="14"/>
        <v>479627.49229420489</v>
      </c>
      <c r="AX22" s="11">
        <f t="shared" si="18"/>
        <v>3449.6029874548622</v>
      </c>
      <c r="AY22" s="9"/>
      <c r="BA22" s="22">
        <f>[1]საპენსიო!D35</f>
        <v>54.692307692307693</v>
      </c>
      <c r="BB22" s="22">
        <f>[1]შშმპ!D36</f>
        <v>38</v>
      </c>
      <c r="BC22" s="23">
        <f t="shared" si="15"/>
        <v>46.346153846153847</v>
      </c>
      <c r="BD22" s="23">
        <f t="shared" si="16"/>
        <v>11.586538461538462</v>
      </c>
      <c r="BE22" s="23">
        <f t="shared" si="17"/>
        <v>139.03846153846155</v>
      </c>
      <c r="BF22" s="9"/>
      <c r="BG22" s="21">
        <v>1800628</v>
      </c>
    </row>
    <row r="23" spans="1:60" ht="46.5" customHeight="1">
      <c r="A23" s="25">
        <v>22</v>
      </c>
      <c r="B23" s="36" t="s">
        <v>84</v>
      </c>
      <c r="C23" s="25" t="s">
        <v>85</v>
      </c>
      <c r="D23" s="33" t="s">
        <v>86</v>
      </c>
      <c r="E23" s="16"/>
      <c r="F23" s="16"/>
      <c r="G23" s="16">
        <f t="shared" si="5"/>
        <v>16901</v>
      </c>
      <c r="H23" s="16">
        <f t="shared" si="6"/>
        <v>132485.75</v>
      </c>
      <c r="I23" s="188"/>
      <c r="J23" s="188"/>
      <c r="K23" s="188"/>
      <c r="L23" s="188"/>
      <c r="M23" s="17"/>
      <c r="N23" s="17"/>
      <c r="O23" s="17"/>
      <c r="P23" s="17"/>
      <c r="Q23" s="17"/>
      <c r="R23" s="17"/>
      <c r="S23" s="17">
        <f t="shared" si="7"/>
        <v>0</v>
      </c>
      <c r="T23" s="213"/>
      <c r="U23" s="17"/>
      <c r="V23" s="17"/>
      <c r="W23" s="17"/>
      <c r="X23" s="17"/>
      <c r="Y23" s="17"/>
      <c r="Z23" s="17"/>
      <c r="AA23" s="17"/>
      <c r="AB23" s="17"/>
      <c r="AC23" s="17">
        <f t="shared" si="8"/>
        <v>0</v>
      </c>
      <c r="AD23" s="17"/>
      <c r="AE23" s="17"/>
      <c r="AF23" s="17"/>
      <c r="AG23" s="17"/>
      <c r="AH23" s="17">
        <v>16901</v>
      </c>
      <c r="AI23" s="17">
        <f t="shared" si="9"/>
        <v>16901</v>
      </c>
      <c r="AJ23" s="17"/>
      <c r="AK23" s="17">
        <v>84884</v>
      </c>
      <c r="AL23" s="18">
        <v>131581</v>
      </c>
      <c r="AM23" s="18">
        <v>153370</v>
      </c>
      <c r="AN23" s="18">
        <v>160108</v>
      </c>
      <c r="AO23" s="18">
        <v>232698</v>
      </c>
      <c r="AP23" s="18">
        <f t="shared" si="10"/>
        <v>762641</v>
      </c>
      <c r="AQ23" s="18"/>
      <c r="AR23" s="44">
        <f t="shared" si="11"/>
        <v>796443</v>
      </c>
      <c r="AS23" s="34">
        <v>7.2099999999999997E-2</v>
      </c>
      <c r="AT23" s="44">
        <f t="shared" si="2"/>
        <v>57423.540300000001</v>
      </c>
      <c r="AU23" s="60">
        <f t="shared" si="12"/>
        <v>0.64893356626590315</v>
      </c>
      <c r="AV23" s="60">
        <f t="shared" si="13"/>
        <v>129786.71325318063</v>
      </c>
      <c r="AW23" s="60">
        <f t="shared" si="14"/>
        <v>1800093.1103076371</v>
      </c>
      <c r="AX23" s="11">
        <f t="shared" si="18"/>
        <v>8709.467824870746</v>
      </c>
      <c r="AY23" s="9"/>
      <c r="BA23" s="22">
        <f>[1]საპენსიო!D31</f>
        <v>72.359649122807014</v>
      </c>
      <c r="BB23" s="22">
        <f>[1]შშმპ!D31</f>
        <v>65.428571428571431</v>
      </c>
      <c r="BC23" s="23">
        <f t="shared" si="15"/>
        <v>68.894110275689229</v>
      </c>
      <c r="BD23" s="23">
        <f t="shared" si="16"/>
        <v>17.223527568922307</v>
      </c>
      <c r="BE23" s="23">
        <f t="shared" si="17"/>
        <v>206.68233082706769</v>
      </c>
      <c r="BF23" s="9"/>
      <c r="BG23" s="21">
        <v>20329792</v>
      </c>
    </row>
    <row r="24" spans="1:60" ht="46.5" customHeight="1">
      <c r="A24" s="25">
        <v>23</v>
      </c>
      <c r="B24" s="36" t="s">
        <v>87</v>
      </c>
      <c r="C24" s="25" t="s">
        <v>88</v>
      </c>
      <c r="D24" s="33" t="s">
        <v>89</v>
      </c>
      <c r="E24" s="16"/>
      <c r="F24" s="16"/>
      <c r="G24" s="16">
        <f t="shared" si="5"/>
        <v>2114</v>
      </c>
      <c r="H24" s="16">
        <f t="shared" si="6"/>
        <v>21529.5</v>
      </c>
      <c r="I24" s="188"/>
      <c r="J24" s="188"/>
      <c r="K24" s="188"/>
      <c r="L24" s="188"/>
      <c r="M24" s="17"/>
      <c r="N24" s="17"/>
      <c r="O24" s="17"/>
      <c r="P24" s="17"/>
      <c r="Q24" s="17"/>
      <c r="R24" s="17"/>
      <c r="S24" s="17">
        <f t="shared" si="7"/>
        <v>0</v>
      </c>
      <c r="T24" s="213"/>
      <c r="U24" s="17"/>
      <c r="V24" s="17"/>
      <c r="W24" s="17"/>
      <c r="X24" s="17"/>
      <c r="Y24" s="17"/>
      <c r="Z24" s="17"/>
      <c r="AA24" s="17"/>
      <c r="AB24" s="17"/>
      <c r="AC24" s="17">
        <f t="shared" si="8"/>
        <v>0</v>
      </c>
      <c r="AD24" s="17"/>
      <c r="AE24" s="17"/>
      <c r="AF24" s="17"/>
      <c r="AG24" s="17"/>
      <c r="AH24" s="17">
        <v>2114</v>
      </c>
      <c r="AI24" s="17">
        <f t="shared" si="9"/>
        <v>2114</v>
      </c>
      <c r="AJ24" s="17"/>
      <c r="AK24" s="17">
        <v>15922</v>
      </c>
      <c r="AL24" s="18">
        <v>19185</v>
      </c>
      <c r="AM24" s="18">
        <v>23726</v>
      </c>
      <c r="AN24" s="18">
        <v>27285</v>
      </c>
      <c r="AO24" s="18">
        <v>33975</v>
      </c>
      <c r="AP24" s="18">
        <f t="shared" si="10"/>
        <v>120093</v>
      </c>
      <c r="AQ24" s="18"/>
      <c r="AR24" s="44">
        <f t="shared" si="11"/>
        <v>124321</v>
      </c>
      <c r="AS24" s="34">
        <v>0.08</v>
      </c>
      <c r="AT24" s="44">
        <f t="shared" si="2"/>
        <v>9945.68</v>
      </c>
      <c r="AU24" s="60">
        <f t="shared" si="12"/>
        <v>0.11239442147978236</v>
      </c>
      <c r="AV24" s="60">
        <f t="shared" si="13"/>
        <v>22478.884295956475</v>
      </c>
      <c r="AW24" s="60">
        <f t="shared" si="14"/>
        <v>280986.05369945592</v>
      </c>
      <c r="AX24" s="11">
        <f t="shared" si="18"/>
        <v>1567.9104318031314</v>
      </c>
      <c r="AY24" s="9"/>
      <c r="BA24" s="22">
        <f>[1]საპენსიო!D30</f>
        <v>59.736842105263158</v>
      </c>
      <c r="BB24" s="22"/>
      <c r="BC24" s="23">
        <f t="shared" si="15"/>
        <v>59.736842105263158</v>
      </c>
      <c r="BD24" s="23">
        <f t="shared" si="16"/>
        <v>14.934210526315789</v>
      </c>
      <c r="BE24" s="23">
        <f t="shared" si="17"/>
        <v>179.21052631578948</v>
      </c>
      <c r="BF24" s="9"/>
      <c r="BG24" s="21">
        <v>4642341</v>
      </c>
    </row>
    <row r="25" spans="1:60" s="201" customFormat="1" ht="33.75" customHeight="1">
      <c r="A25" s="191">
        <v>24</v>
      </c>
      <c r="B25" s="191" t="s">
        <v>90</v>
      </c>
      <c r="C25" s="191" t="s">
        <v>91</v>
      </c>
      <c r="D25" s="192" t="s">
        <v>92</v>
      </c>
      <c r="E25" s="193">
        <f t="shared" ref="E25:E32" si="19">AVERAGE(N25:R25)</f>
        <v>111386.8</v>
      </c>
      <c r="F25" s="193">
        <f t="shared" ref="F25:F32" si="20">AVERAGE(U25:AB25)</f>
        <v>170083.625</v>
      </c>
      <c r="G25" s="193">
        <f t="shared" si="5"/>
        <v>340627</v>
      </c>
      <c r="H25" s="193">
        <f t="shared" si="6"/>
        <v>413211</v>
      </c>
      <c r="I25" s="193"/>
      <c r="J25" s="193"/>
      <c r="K25" s="193"/>
      <c r="L25" s="193"/>
      <c r="M25" s="194">
        <v>255662</v>
      </c>
      <c r="N25" s="194">
        <v>103969</v>
      </c>
      <c r="O25" s="194">
        <f>14393+31795+12615+6244+1102</f>
        <v>66149</v>
      </c>
      <c r="P25" s="194">
        <f>31487+100998+25728+1020</f>
        <v>159233</v>
      </c>
      <c r="Q25" s="194">
        <v>129089</v>
      </c>
      <c r="R25" s="195">
        <f>6352+51394+39920+828</f>
        <v>98494</v>
      </c>
      <c r="S25" s="194">
        <f t="shared" si="7"/>
        <v>812596</v>
      </c>
      <c r="T25" s="213">
        <f>S25+S26+S27</f>
        <v>1181992</v>
      </c>
      <c r="U25" s="195">
        <v>168080</v>
      </c>
      <c r="V25" s="195">
        <v>168944</v>
      </c>
      <c r="W25" s="195">
        <v>137425</v>
      </c>
      <c r="X25" s="195">
        <v>172936</v>
      </c>
      <c r="Y25" s="195">
        <v>195246</v>
      </c>
      <c r="Z25" s="195">
        <v>141714</v>
      </c>
      <c r="AA25" s="195">
        <v>185410</v>
      </c>
      <c r="AB25" s="195">
        <v>190914</v>
      </c>
      <c r="AC25" s="17">
        <f t="shared" si="8"/>
        <v>1360669</v>
      </c>
      <c r="AD25" s="213">
        <f>AC25+AC26+AC27</f>
        <v>2269185</v>
      </c>
      <c r="AE25" s="195">
        <v>277656</v>
      </c>
      <c r="AF25" s="195">
        <v>352098</v>
      </c>
      <c r="AG25" s="195">
        <v>363351</v>
      </c>
      <c r="AH25" s="195">
        <v>369403</v>
      </c>
      <c r="AI25" s="17">
        <f t="shared" si="9"/>
        <v>1362508</v>
      </c>
      <c r="AJ25" s="213">
        <f>AI25+AI26+AI27</f>
        <v>2213724</v>
      </c>
      <c r="AK25" s="195">
        <v>398024</v>
      </c>
      <c r="AL25" s="196">
        <v>426880</v>
      </c>
      <c r="AM25" s="196">
        <v>422016</v>
      </c>
      <c r="AN25" s="196">
        <v>405924</v>
      </c>
      <c r="AO25" s="196">
        <v>485444</v>
      </c>
      <c r="AP25" s="18">
        <f t="shared" si="10"/>
        <v>2138288</v>
      </c>
      <c r="AQ25" s="213">
        <f>AP25+AP26+AP27</f>
        <v>3584828</v>
      </c>
      <c r="AR25" s="197">
        <f t="shared" si="11"/>
        <v>14874735</v>
      </c>
      <c r="AS25" s="198">
        <v>8.4500000000000006E-2</v>
      </c>
      <c r="AT25" s="197">
        <f t="shared" si="2"/>
        <v>1256915.1075000002</v>
      </c>
      <c r="AU25" s="199">
        <f t="shared" si="12"/>
        <v>14.204181750937186</v>
      </c>
      <c r="AV25" s="199">
        <f t="shared" si="13"/>
        <v>2840836.3501874376</v>
      </c>
      <c r="AW25" s="199">
        <f t="shared" si="14"/>
        <v>33619365.09097559</v>
      </c>
      <c r="AX25" s="200">
        <f t="shared" si="18"/>
        <v>77454.369210389355</v>
      </c>
      <c r="BA25" s="202">
        <f>[1]საპენსიო!D18</f>
        <v>143.02982162764772</v>
      </c>
      <c r="BB25" s="202">
        <f>[1]შშმპ!D19</f>
        <v>146.33939393939394</v>
      </c>
      <c r="BC25" s="203">
        <f t="shared" si="15"/>
        <v>144.68460778352085</v>
      </c>
      <c r="BD25" s="203">
        <f t="shared" si="16"/>
        <v>36.171151945880212</v>
      </c>
      <c r="BE25" s="203">
        <f t="shared" si="17"/>
        <v>434.05382335056254</v>
      </c>
      <c r="BG25" s="21">
        <v>823420</v>
      </c>
    </row>
    <row r="26" spans="1:60" ht="51.75" customHeight="1">
      <c r="A26" s="25">
        <v>25</v>
      </c>
      <c r="B26" s="25" t="s">
        <v>93</v>
      </c>
      <c r="C26" s="25" t="s">
        <v>94</v>
      </c>
      <c r="D26" s="33" t="s">
        <v>95</v>
      </c>
      <c r="E26" s="16">
        <f t="shared" si="19"/>
        <v>29537.8</v>
      </c>
      <c r="F26" s="16">
        <f t="shared" si="20"/>
        <v>59391.375</v>
      </c>
      <c r="G26" s="16">
        <f t="shared" si="5"/>
        <v>107459.75</v>
      </c>
      <c r="H26" s="16">
        <f t="shared" si="6"/>
        <v>148344.75</v>
      </c>
      <c r="I26" s="188"/>
      <c r="J26" s="188"/>
      <c r="K26" s="188"/>
      <c r="L26" s="188"/>
      <c r="M26" s="17">
        <v>22614</v>
      </c>
      <c r="N26" s="17">
        <f>3092+8803</f>
        <v>11895</v>
      </c>
      <c r="O26" s="17">
        <v>700</v>
      </c>
      <c r="P26" s="17">
        <f>562+329+28856</f>
        <v>29747</v>
      </c>
      <c r="Q26" s="17">
        <v>79226</v>
      </c>
      <c r="R26" s="17">
        <f>26120+1</f>
        <v>26121</v>
      </c>
      <c r="S26" s="17">
        <f t="shared" si="7"/>
        <v>170303</v>
      </c>
      <c r="T26" s="213"/>
      <c r="U26" s="17">
        <v>51767</v>
      </c>
      <c r="V26" s="17">
        <v>64413</v>
      </c>
      <c r="W26" s="17">
        <v>45245</v>
      </c>
      <c r="X26" s="17">
        <v>53493</v>
      </c>
      <c r="Y26" s="17">
        <v>75130</v>
      </c>
      <c r="Z26" s="17">
        <v>47604</v>
      </c>
      <c r="AA26" s="17">
        <v>60976</v>
      </c>
      <c r="AB26" s="17">
        <v>76503</v>
      </c>
      <c r="AC26" s="17">
        <f t="shared" si="8"/>
        <v>475131</v>
      </c>
      <c r="AD26" s="17"/>
      <c r="AE26" s="17">
        <v>99668</v>
      </c>
      <c r="AF26" s="17">
        <v>130154</v>
      </c>
      <c r="AG26" s="17">
        <v>97303</v>
      </c>
      <c r="AH26" s="17">
        <v>102714</v>
      </c>
      <c r="AI26" s="17">
        <f t="shared" si="9"/>
        <v>429839</v>
      </c>
      <c r="AJ26" s="17"/>
      <c r="AK26" s="17">
        <v>167394</v>
      </c>
      <c r="AL26" s="18">
        <v>142531</v>
      </c>
      <c r="AM26" s="18">
        <v>138106</v>
      </c>
      <c r="AN26" s="18">
        <v>145348</v>
      </c>
      <c r="AO26" s="18">
        <v>171541</v>
      </c>
      <c r="AP26" s="18">
        <f t="shared" si="10"/>
        <v>764920</v>
      </c>
      <c r="AQ26" s="18"/>
      <c r="AR26" s="44">
        <f t="shared" si="11"/>
        <v>2915466</v>
      </c>
      <c r="AS26" s="39">
        <v>0.1119</v>
      </c>
      <c r="AT26" s="44">
        <f t="shared" si="2"/>
        <v>326240.64539999998</v>
      </c>
      <c r="AU26" s="60">
        <f t="shared" si="12"/>
        <v>3.6867895008610589</v>
      </c>
      <c r="AV26" s="60">
        <f t="shared" si="13"/>
        <v>737357.90017221181</v>
      </c>
      <c r="AW26" s="60">
        <f t="shared" si="14"/>
        <v>6589436.1052029654</v>
      </c>
      <c r="AX26" s="11">
        <f t="shared" si="18"/>
        <v>26037.604428294417</v>
      </c>
      <c r="AY26" s="9"/>
      <c r="BA26" s="22">
        <f>[1]საპენსიო!D20</f>
        <v>83.653382275825905</v>
      </c>
      <c r="BB26" s="22">
        <f>[1]შშმპ!D20</f>
        <v>85.0625</v>
      </c>
      <c r="BC26" s="23">
        <f t="shared" si="15"/>
        <v>84.357941137912945</v>
      </c>
      <c r="BD26" s="23">
        <f t="shared" si="16"/>
        <v>21.089485284478236</v>
      </c>
      <c r="BE26" s="23">
        <f t="shared" si="17"/>
        <v>253.07382341373884</v>
      </c>
      <c r="BF26" s="9"/>
      <c r="BG26" s="21">
        <v>610238</v>
      </c>
    </row>
    <row r="27" spans="1:60">
      <c r="A27" s="25">
        <v>26</v>
      </c>
      <c r="B27" s="25" t="s">
        <v>96</v>
      </c>
      <c r="C27" s="25" t="s">
        <v>97</v>
      </c>
      <c r="D27" s="40" t="s">
        <v>98</v>
      </c>
      <c r="E27" s="16">
        <f t="shared" si="19"/>
        <v>32737.8</v>
      </c>
      <c r="F27" s="16">
        <f t="shared" si="20"/>
        <v>54173.125</v>
      </c>
      <c r="G27" s="16">
        <f t="shared" si="5"/>
        <v>105344.25</v>
      </c>
      <c r="H27" s="16">
        <f t="shared" si="6"/>
        <v>131738.25</v>
      </c>
      <c r="I27" s="188"/>
      <c r="J27" s="188"/>
      <c r="K27" s="188"/>
      <c r="L27" s="188"/>
      <c r="M27" s="17">
        <v>35404</v>
      </c>
      <c r="N27" s="17">
        <f>630+300</f>
        <v>930</v>
      </c>
      <c r="O27" s="17">
        <v>24</v>
      </c>
      <c r="P27" s="17">
        <f>2+18170+30+84119</f>
        <v>102321</v>
      </c>
      <c r="Q27" s="17">
        <v>38566</v>
      </c>
      <c r="R27" s="17">
        <f>3538+30+18280</f>
        <v>21848</v>
      </c>
      <c r="S27" s="17">
        <f t="shared" si="7"/>
        <v>199093</v>
      </c>
      <c r="T27" s="213"/>
      <c r="U27" s="17">
        <v>72462</v>
      </c>
      <c r="V27" s="17">
        <v>48945</v>
      </c>
      <c r="W27" s="17">
        <v>33097</v>
      </c>
      <c r="X27" s="17">
        <v>65867</v>
      </c>
      <c r="Y27" s="17">
        <v>59457</v>
      </c>
      <c r="Z27" s="17">
        <v>34447</v>
      </c>
      <c r="AA27" s="17">
        <v>64628</v>
      </c>
      <c r="AB27" s="17">
        <v>54482</v>
      </c>
      <c r="AC27" s="17">
        <f t="shared" si="8"/>
        <v>433385</v>
      </c>
      <c r="AD27" s="17"/>
      <c r="AE27" s="17">
        <v>84344</v>
      </c>
      <c r="AF27" s="17">
        <v>130224</v>
      </c>
      <c r="AG27" s="17">
        <v>103094</v>
      </c>
      <c r="AH27" s="17">
        <v>103715</v>
      </c>
      <c r="AI27" s="17">
        <f t="shared" si="9"/>
        <v>421377</v>
      </c>
      <c r="AJ27" s="17"/>
      <c r="AK27" s="17">
        <v>136114</v>
      </c>
      <c r="AL27" s="18">
        <v>128423</v>
      </c>
      <c r="AM27" s="18">
        <v>130971</v>
      </c>
      <c r="AN27" s="18">
        <v>131445</v>
      </c>
      <c r="AO27" s="18">
        <v>154667</v>
      </c>
      <c r="AP27" s="18">
        <f t="shared" si="10"/>
        <v>681620</v>
      </c>
      <c r="AQ27" s="18"/>
      <c r="AR27" s="44">
        <f t="shared" si="11"/>
        <v>2789330</v>
      </c>
      <c r="AS27" s="41">
        <v>0.109</v>
      </c>
      <c r="AT27" s="44">
        <f t="shared" si="2"/>
        <v>304036.96999999997</v>
      </c>
      <c r="AU27" s="60">
        <f t="shared" si="12"/>
        <v>3.4358695787131639</v>
      </c>
      <c r="AV27" s="60">
        <f t="shared" si="13"/>
        <v>687173.9157426327</v>
      </c>
      <c r="AW27" s="60">
        <f t="shared" si="14"/>
        <v>6304347.8508498417</v>
      </c>
      <c r="AX27" s="11">
        <f t="shared" si="18"/>
        <v>17882.892107656269</v>
      </c>
      <c r="AY27" s="9"/>
      <c r="BA27" s="22">
        <f>[1]საპენსიო!D19</f>
        <v>119.85441176470589</v>
      </c>
      <c r="BB27" s="22">
        <f>[1]შშმპ!D18</f>
        <v>115.16901408450704</v>
      </c>
      <c r="BC27" s="23">
        <f t="shared" si="15"/>
        <v>117.51171292460646</v>
      </c>
      <c r="BD27" s="23">
        <f t="shared" si="16"/>
        <v>29.377928231151614</v>
      </c>
      <c r="BE27" s="23">
        <f t="shared" si="17"/>
        <v>352.53513877381937</v>
      </c>
      <c r="BF27" s="9"/>
      <c r="BG27" s="21">
        <v>304248</v>
      </c>
    </row>
    <row r="28" spans="1:60" s="201" customFormat="1">
      <c r="A28" s="191">
        <v>27</v>
      </c>
      <c r="B28" s="191" t="s">
        <v>99</v>
      </c>
      <c r="C28" s="191" t="s">
        <v>100</v>
      </c>
      <c r="D28" s="204" t="s">
        <v>101</v>
      </c>
      <c r="E28" s="193">
        <f t="shared" si="19"/>
        <v>3042.2</v>
      </c>
      <c r="F28" s="193">
        <f t="shared" si="20"/>
        <v>3862.625</v>
      </c>
      <c r="G28" s="193">
        <f t="shared" si="5"/>
        <v>8559.25</v>
      </c>
      <c r="H28" s="193">
        <f t="shared" si="6"/>
        <v>7996.333333333333</v>
      </c>
      <c r="I28" s="193"/>
      <c r="J28" s="193"/>
      <c r="K28" s="193"/>
      <c r="L28" s="193"/>
      <c r="M28" s="194">
        <v>2774</v>
      </c>
      <c r="N28" s="194">
        <v>3424</v>
      </c>
      <c r="O28" s="194">
        <v>2384</v>
      </c>
      <c r="P28" s="194">
        <f>2117</f>
        <v>2117</v>
      </c>
      <c r="Q28" s="194">
        <v>4162</v>
      </c>
      <c r="R28" s="194">
        <f>2480+644</f>
        <v>3124</v>
      </c>
      <c r="S28" s="194">
        <f t="shared" si="7"/>
        <v>17985</v>
      </c>
      <c r="T28" s="213">
        <f>S28+S29</f>
        <v>160259</v>
      </c>
      <c r="U28" s="194">
        <v>2678</v>
      </c>
      <c r="V28" s="194">
        <v>2208</v>
      </c>
      <c r="W28" s="194">
        <v>5712</v>
      </c>
      <c r="X28" s="194">
        <v>2577</v>
      </c>
      <c r="Y28" s="194">
        <v>4044</v>
      </c>
      <c r="Z28" s="194">
        <v>5261</v>
      </c>
      <c r="AA28" s="194">
        <v>4810</v>
      </c>
      <c r="AB28" s="194">
        <v>3611</v>
      </c>
      <c r="AC28" s="17">
        <f t="shared" si="8"/>
        <v>30901</v>
      </c>
      <c r="AD28" s="213">
        <f>AC28+AC29</f>
        <v>321560</v>
      </c>
      <c r="AE28" s="194">
        <v>6970</v>
      </c>
      <c r="AF28" s="194">
        <v>10729</v>
      </c>
      <c r="AG28" s="194">
        <v>7133</v>
      </c>
      <c r="AH28" s="194">
        <v>9405</v>
      </c>
      <c r="AI28" s="17">
        <f t="shared" si="9"/>
        <v>34237</v>
      </c>
      <c r="AJ28" s="213">
        <f>AI28+AI29</f>
        <v>393353</v>
      </c>
      <c r="AK28" s="194">
        <v>6884</v>
      </c>
      <c r="AL28" s="21">
        <v>10015</v>
      </c>
      <c r="AM28" s="21">
        <v>7090</v>
      </c>
      <c r="AN28" s="21"/>
      <c r="AO28" s="21">
        <v>7618</v>
      </c>
      <c r="AP28" s="18">
        <f t="shared" si="10"/>
        <v>31607</v>
      </c>
      <c r="AQ28" s="213">
        <f>AP28+AP29</f>
        <v>500966</v>
      </c>
      <c r="AR28" s="197">
        <f t="shared" si="11"/>
        <v>1073025</v>
      </c>
      <c r="AS28" s="205">
        <v>0.16520000000000001</v>
      </c>
      <c r="AT28" s="197">
        <f t="shared" si="2"/>
        <v>177263.73</v>
      </c>
      <c r="AU28" s="199">
        <f t="shared" si="12"/>
        <v>2.0032269671554226</v>
      </c>
      <c r="AV28" s="199">
        <f t="shared" si="13"/>
        <v>400645.39343108452</v>
      </c>
      <c r="AW28" s="199">
        <f t="shared" si="14"/>
        <v>2425214.2459508744</v>
      </c>
      <c r="AX28" s="200">
        <f t="shared" si="18"/>
        <v>6207.8455505072889</v>
      </c>
      <c r="BA28" s="202">
        <f>[1]საპენსიო!D27</f>
        <v>189.44615384615383</v>
      </c>
      <c r="BB28" s="202">
        <f>[1]შშმპ!D26</f>
        <v>71</v>
      </c>
      <c r="BC28" s="203">
        <f t="shared" si="15"/>
        <v>130.22307692307692</v>
      </c>
      <c r="BD28" s="203">
        <f t="shared" si="16"/>
        <v>32.555769230769229</v>
      </c>
      <c r="BE28" s="203">
        <f t="shared" si="17"/>
        <v>390.66923076923075</v>
      </c>
      <c r="BG28" s="21">
        <v>21710</v>
      </c>
    </row>
    <row r="29" spans="1:60" ht="27.75" customHeight="1">
      <c r="A29" s="25">
        <v>28</v>
      </c>
      <c r="B29" s="25" t="s">
        <v>102</v>
      </c>
      <c r="C29" s="25" t="s">
        <v>103</v>
      </c>
      <c r="D29" s="33" t="s">
        <v>104</v>
      </c>
      <c r="E29" s="16">
        <f t="shared" si="19"/>
        <v>28454.799999999999</v>
      </c>
      <c r="F29" s="16">
        <f t="shared" si="20"/>
        <v>36332.375</v>
      </c>
      <c r="G29" s="16">
        <f t="shared" si="5"/>
        <v>89779</v>
      </c>
      <c r="H29" s="16">
        <f t="shared" si="6"/>
        <v>101791.75</v>
      </c>
      <c r="I29" s="188"/>
      <c r="J29" s="188"/>
      <c r="K29" s="188"/>
      <c r="L29" s="188"/>
      <c r="M29" s="17">
        <v>0</v>
      </c>
      <c r="N29" s="17">
        <v>21555</v>
      </c>
      <c r="O29" s="17">
        <v>35764</v>
      </c>
      <c r="P29" s="17">
        <f>21573</f>
        <v>21573</v>
      </c>
      <c r="Q29" s="17">
        <v>28139</v>
      </c>
      <c r="R29" s="17">
        <f>35243</f>
        <v>35243</v>
      </c>
      <c r="S29" s="17">
        <f t="shared" si="7"/>
        <v>142274</v>
      </c>
      <c r="T29" s="213"/>
      <c r="U29" s="17">
        <v>25652</v>
      </c>
      <c r="V29" s="17">
        <v>31840</v>
      </c>
      <c r="W29" s="17">
        <v>43499</v>
      </c>
      <c r="X29" s="17">
        <v>34555</v>
      </c>
      <c r="Y29" s="17">
        <v>39389</v>
      </c>
      <c r="Z29" s="17">
        <v>38730</v>
      </c>
      <c r="AA29" s="17">
        <v>38749</v>
      </c>
      <c r="AB29" s="17">
        <v>38245</v>
      </c>
      <c r="AC29" s="17">
        <f t="shared" si="8"/>
        <v>290659</v>
      </c>
      <c r="AD29" s="17"/>
      <c r="AE29" s="17">
        <v>74463</v>
      </c>
      <c r="AF29" s="17">
        <v>85375</v>
      </c>
      <c r="AG29" s="17">
        <v>97444</v>
      </c>
      <c r="AH29" s="17">
        <v>101834</v>
      </c>
      <c r="AI29" s="17">
        <f t="shared" si="9"/>
        <v>359116</v>
      </c>
      <c r="AJ29" s="17"/>
      <c r="AK29" s="17">
        <v>85627</v>
      </c>
      <c r="AL29" s="18">
        <v>103526</v>
      </c>
      <c r="AM29" s="18">
        <v>127741</v>
      </c>
      <c r="AN29" s="18">
        <v>90273</v>
      </c>
      <c r="AO29" s="18">
        <v>62192</v>
      </c>
      <c r="AP29" s="18">
        <f t="shared" si="10"/>
        <v>469359</v>
      </c>
      <c r="AQ29" s="18"/>
      <c r="AR29" s="44">
        <f t="shared" si="11"/>
        <v>2053457</v>
      </c>
      <c r="AS29" s="35">
        <v>4.4999999999999998E-2</v>
      </c>
      <c r="AT29" s="44">
        <f t="shared" si="2"/>
        <v>92405.565000000002</v>
      </c>
      <c r="AU29" s="60">
        <f t="shared" si="12"/>
        <v>1.0442594191334755</v>
      </c>
      <c r="AV29" s="60">
        <f t="shared" si="13"/>
        <v>208851.88382669512</v>
      </c>
      <c r="AW29" s="60">
        <f t="shared" si="14"/>
        <v>4641152.9739265582</v>
      </c>
      <c r="AX29" s="11">
        <f t="shared" si="18"/>
        <v>12283.237054983194</v>
      </c>
      <c r="AY29" s="9"/>
      <c r="BA29" s="22">
        <f>[1]საპენსიო!D28</f>
        <v>118.71681415929204</v>
      </c>
      <c r="BB29" s="22">
        <f>[1]შშმპ!D27</f>
        <v>133.17948717948718</v>
      </c>
      <c r="BC29" s="23">
        <f t="shared" si="15"/>
        <v>125.94815066938961</v>
      </c>
      <c r="BD29" s="23">
        <f t="shared" si="16"/>
        <v>31.487037667347401</v>
      </c>
      <c r="BE29" s="23">
        <f t="shared" si="17"/>
        <v>377.84445200816879</v>
      </c>
      <c r="BF29" s="9"/>
      <c r="BG29" s="21">
        <v>46718</v>
      </c>
    </row>
    <row r="30" spans="1:60" s="201" customFormat="1" ht="26.25" customHeight="1">
      <c r="A30" s="191">
        <v>29</v>
      </c>
      <c r="B30" s="191" t="s">
        <v>105</v>
      </c>
      <c r="C30" s="191" t="s">
        <v>106</v>
      </c>
      <c r="D30" s="204" t="s">
        <v>71</v>
      </c>
      <c r="E30" s="193">
        <f t="shared" si="19"/>
        <v>754.2</v>
      </c>
      <c r="F30" s="193">
        <f t="shared" si="20"/>
        <v>1018.25</v>
      </c>
      <c r="G30" s="193">
        <f t="shared" si="5"/>
        <v>1003.75</v>
      </c>
      <c r="H30" s="193">
        <f t="shared" si="6"/>
        <v>1529</v>
      </c>
      <c r="I30" s="193"/>
      <c r="J30" s="193"/>
      <c r="K30" s="193"/>
      <c r="L30" s="193"/>
      <c r="M30" s="194">
        <v>547</v>
      </c>
      <c r="N30" s="194">
        <v>464</v>
      </c>
      <c r="O30" s="194">
        <v>356</v>
      </c>
      <c r="P30" s="194">
        <v>1050</v>
      </c>
      <c r="Q30" s="194">
        <v>1342</v>
      </c>
      <c r="R30" s="194">
        <f>559</f>
        <v>559</v>
      </c>
      <c r="S30" s="194">
        <f t="shared" si="7"/>
        <v>4318</v>
      </c>
      <c r="T30" s="213">
        <f>S30+S31+S32+S33+S34+S35+S36</f>
        <v>17559</v>
      </c>
      <c r="U30" s="194">
        <v>776</v>
      </c>
      <c r="V30" s="194">
        <v>1012</v>
      </c>
      <c r="W30" s="194">
        <v>664</v>
      </c>
      <c r="X30" s="194">
        <v>926</v>
      </c>
      <c r="Y30" s="194">
        <v>1161</v>
      </c>
      <c r="Z30" s="194">
        <v>918</v>
      </c>
      <c r="AA30" s="194">
        <v>1668</v>
      </c>
      <c r="AB30" s="194">
        <v>1021</v>
      </c>
      <c r="AC30" s="17">
        <f t="shared" si="8"/>
        <v>8146</v>
      </c>
      <c r="AD30" s="213">
        <f>AC30+AC31+AC32+AC33+AC34+AC35+AC36</f>
        <v>28604</v>
      </c>
      <c r="AE30" s="194">
        <v>513</v>
      </c>
      <c r="AF30" s="194">
        <v>1320</v>
      </c>
      <c r="AG30" s="194">
        <v>1348</v>
      </c>
      <c r="AH30" s="194">
        <v>834</v>
      </c>
      <c r="AI30" s="17">
        <f t="shared" si="9"/>
        <v>4015</v>
      </c>
      <c r="AJ30" s="213">
        <f>AI30+AI31+AI32+AI33+AI34+AI35+AI36</f>
        <v>16592</v>
      </c>
      <c r="AK30" s="194">
        <f>1971+1640</f>
        <v>3611</v>
      </c>
      <c r="AL30" s="21">
        <v>1204</v>
      </c>
      <c r="AM30" s="21">
        <v>898</v>
      </c>
      <c r="AN30" s="21">
        <v>403</v>
      </c>
      <c r="AO30" s="21">
        <v>346</v>
      </c>
      <c r="AP30" s="18">
        <f t="shared" si="10"/>
        <v>6462</v>
      </c>
      <c r="AQ30" s="213">
        <f>AP30+AP31+AP32+AP33+AP34+AP35+AP36</f>
        <v>28597</v>
      </c>
      <c r="AR30" s="197">
        <f t="shared" si="11"/>
        <v>102175</v>
      </c>
      <c r="AS30" s="205">
        <v>3.2294999999999998</v>
      </c>
      <c r="AT30" s="197">
        <f t="shared" si="2"/>
        <v>329974.16249999998</v>
      </c>
      <c r="AU30" s="199">
        <f t="shared" si="12"/>
        <v>3.7289813363654565</v>
      </c>
      <c r="AV30" s="199">
        <f t="shared" si="13"/>
        <v>745796.26727309125</v>
      </c>
      <c r="AW30" s="199">
        <f t="shared" si="14"/>
        <v>230932.4252277725</v>
      </c>
      <c r="AX30" s="200">
        <f t="shared" si="18"/>
        <v>6468.695384531442</v>
      </c>
      <c r="BA30" s="202">
        <f>[1]საპენსიო!D25</f>
        <v>14.3</v>
      </c>
      <c r="BB30" s="202">
        <f>[1]შშმპ!D25</f>
        <v>9.5</v>
      </c>
      <c r="BC30" s="203">
        <f t="shared" si="15"/>
        <v>11.9</v>
      </c>
      <c r="BD30" s="203">
        <f t="shared" si="16"/>
        <v>2.9750000000000001</v>
      </c>
      <c r="BE30" s="203">
        <f t="shared" si="17"/>
        <v>35.700000000000003</v>
      </c>
      <c r="BG30" s="42">
        <v>2687</v>
      </c>
    </row>
    <row r="31" spans="1:60" ht="39.75" customHeight="1">
      <c r="A31" s="25">
        <v>30</v>
      </c>
      <c r="B31" s="25" t="s">
        <v>107</v>
      </c>
      <c r="C31" s="25" t="s">
        <v>108</v>
      </c>
      <c r="D31" s="33" t="s">
        <v>109</v>
      </c>
      <c r="E31" s="16">
        <f t="shared" si="19"/>
        <v>105.2</v>
      </c>
      <c r="F31" s="16">
        <f t="shared" si="20"/>
        <v>119.375</v>
      </c>
      <c r="G31" s="16">
        <f t="shared" si="5"/>
        <v>107.5</v>
      </c>
      <c r="H31" s="16">
        <f t="shared" si="6"/>
        <v>1125</v>
      </c>
      <c r="I31" s="188"/>
      <c r="J31" s="188"/>
      <c r="K31" s="188"/>
      <c r="L31" s="188"/>
      <c r="M31" s="17">
        <v>290</v>
      </c>
      <c r="N31" s="17">
        <v>46</v>
      </c>
      <c r="O31" s="17">
        <v>110</v>
      </c>
      <c r="P31" s="17">
        <v>131</v>
      </c>
      <c r="Q31" s="17">
        <v>165</v>
      </c>
      <c r="R31" s="17">
        <f>74</f>
        <v>74</v>
      </c>
      <c r="S31" s="17">
        <f t="shared" si="7"/>
        <v>816</v>
      </c>
      <c r="T31" s="213"/>
      <c r="U31" s="17">
        <v>0</v>
      </c>
      <c r="V31" s="17">
        <v>55</v>
      </c>
      <c r="W31" s="17">
        <v>100</v>
      </c>
      <c r="X31" s="17">
        <v>400</v>
      </c>
      <c r="Y31" s="17">
        <v>80</v>
      </c>
      <c r="Z31" s="17">
        <v>90</v>
      </c>
      <c r="AA31" s="17">
        <v>184</v>
      </c>
      <c r="AB31" s="17">
        <v>46</v>
      </c>
      <c r="AC31" s="17">
        <f t="shared" si="8"/>
        <v>955</v>
      </c>
      <c r="AD31" s="17"/>
      <c r="AE31" s="17">
        <v>40</v>
      </c>
      <c r="AF31" s="17">
        <v>120</v>
      </c>
      <c r="AG31" s="17">
        <v>203</v>
      </c>
      <c r="AH31" s="17">
        <v>67</v>
      </c>
      <c r="AI31" s="17">
        <f t="shared" si="9"/>
        <v>430</v>
      </c>
      <c r="AJ31" s="17"/>
      <c r="AK31" s="17">
        <v>1125</v>
      </c>
      <c r="AL31" s="43"/>
      <c r="AM31" s="43"/>
      <c r="AN31" s="43"/>
      <c r="AO31" s="9"/>
      <c r="AP31" s="18">
        <f t="shared" si="10"/>
        <v>1125</v>
      </c>
      <c r="AQ31" s="9"/>
      <c r="AR31" s="44">
        <f t="shared" si="11"/>
        <v>5527</v>
      </c>
      <c r="AS31" s="43"/>
      <c r="AT31" s="44">
        <f t="shared" si="2"/>
        <v>0</v>
      </c>
      <c r="AU31" s="60">
        <f t="shared" si="12"/>
        <v>0</v>
      </c>
      <c r="AV31" s="60">
        <f t="shared" si="13"/>
        <v>0</v>
      </c>
      <c r="AW31" s="60"/>
      <c r="AX31" s="11">
        <f t="shared" si="18"/>
        <v>0</v>
      </c>
      <c r="AY31" s="9"/>
      <c r="BA31" s="22">
        <f>[1]საპენსიო!D21</f>
        <v>30</v>
      </c>
      <c r="BB31" s="22"/>
      <c r="BC31" s="23">
        <f t="shared" si="15"/>
        <v>30</v>
      </c>
      <c r="BD31" s="23">
        <f t="shared" si="16"/>
        <v>7.5</v>
      </c>
      <c r="BE31" s="23">
        <f t="shared" si="17"/>
        <v>90</v>
      </c>
      <c r="BF31" s="9"/>
      <c r="BG31" s="43"/>
    </row>
    <row r="32" spans="1:60" ht="60.75" customHeight="1">
      <c r="A32" s="25">
        <v>31</v>
      </c>
      <c r="B32" s="25" t="s">
        <v>110</v>
      </c>
      <c r="C32" s="25" t="s">
        <v>111</v>
      </c>
      <c r="D32" s="33" t="s">
        <v>112</v>
      </c>
      <c r="E32" s="16">
        <f t="shared" si="19"/>
        <v>952.6</v>
      </c>
      <c r="F32" s="16">
        <f t="shared" si="20"/>
        <v>1313.125</v>
      </c>
      <c r="G32" s="16">
        <f t="shared" si="5"/>
        <v>1168.5</v>
      </c>
      <c r="H32" s="16">
        <f t="shared" si="6"/>
        <v>1485.5</v>
      </c>
      <c r="I32" s="188"/>
      <c r="J32" s="188"/>
      <c r="K32" s="188"/>
      <c r="L32" s="188"/>
      <c r="M32" s="17">
        <v>2050</v>
      </c>
      <c r="N32" s="17">
        <f>40+3+752</f>
        <v>795</v>
      </c>
      <c r="O32" s="17">
        <v>579</v>
      </c>
      <c r="P32" s="17">
        <f>52+45+1091+191</f>
        <v>1379</v>
      </c>
      <c r="Q32" s="17">
        <v>1075</v>
      </c>
      <c r="R32" s="17">
        <f>12+393+530</f>
        <v>935</v>
      </c>
      <c r="S32" s="17">
        <f t="shared" si="7"/>
        <v>6813</v>
      </c>
      <c r="T32" s="213"/>
      <c r="U32" s="17">
        <v>1306</v>
      </c>
      <c r="V32" s="17">
        <v>1200</v>
      </c>
      <c r="W32" s="17">
        <v>1273</v>
      </c>
      <c r="X32" s="17">
        <v>684</v>
      </c>
      <c r="Y32" s="17">
        <v>1911</v>
      </c>
      <c r="Z32" s="17">
        <v>1457</v>
      </c>
      <c r="AA32" s="17">
        <v>1090</v>
      </c>
      <c r="AB32" s="17">
        <v>1584</v>
      </c>
      <c r="AC32" s="17">
        <f t="shared" si="8"/>
        <v>10505</v>
      </c>
      <c r="AD32" s="17"/>
      <c r="AE32" s="17">
        <v>2118</v>
      </c>
      <c r="AF32" s="17">
        <v>1484</v>
      </c>
      <c r="AG32" s="17">
        <v>916</v>
      </c>
      <c r="AH32" s="17">
        <v>156</v>
      </c>
      <c r="AI32" s="17">
        <f t="shared" si="9"/>
        <v>4674</v>
      </c>
      <c r="AJ32" s="17"/>
      <c r="AK32" s="17">
        <v>2685</v>
      </c>
      <c r="AL32" s="18">
        <v>854</v>
      </c>
      <c r="AM32" s="18">
        <v>1062</v>
      </c>
      <c r="AN32" s="18">
        <v>1341</v>
      </c>
      <c r="AO32" s="91">
        <v>1226</v>
      </c>
      <c r="AP32" s="18">
        <f t="shared" si="10"/>
        <v>7168</v>
      </c>
      <c r="AQ32" s="91"/>
      <c r="AR32" s="44">
        <f t="shared" si="11"/>
        <v>51152</v>
      </c>
      <c r="AS32" s="35">
        <v>30.998999999999999</v>
      </c>
      <c r="AT32" s="44">
        <f t="shared" si="2"/>
        <v>1585660.848</v>
      </c>
      <c r="AU32" s="60">
        <f t="shared" si="12"/>
        <v>17.919280901265786</v>
      </c>
      <c r="AV32" s="60">
        <f t="shared" si="13"/>
        <v>3583856.1802531569</v>
      </c>
      <c r="AW32" s="60">
        <f t="shared" si="14"/>
        <v>115611.99329827275</v>
      </c>
      <c r="AX32" s="11">
        <f t="shared" si="18"/>
        <v>20859.849853312528</v>
      </c>
      <c r="AY32" s="9"/>
      <c r="BA32" s="22">
        <f>[1]საპენსიო!D22</f>
        <v>1.9014925373134328</v>
      </c>
      <c r="BB32" s="22">
        <f>[1]შშმპ!D22</f>
        <v>1.7933884297520661</v>
      </c>
      <c r="BC32" s="23">
        <f t="shared" si="15"/>
        <v>1.8474404835327496</v>
      </c>
      <c r="BD32" s="23">
        <f t="shared" si="16"/>
        <v>0.4618601208831874</v>
      </c>
      <c r="BE32" s="23">
        <f t="shared" si="17"/>
        <v>5.5423214505982488</v>
      </c>
      <c r="BF32" s="9"/>
      <c r="BG32" s="21">
        <v>5045</v>
      </c>
    </row>
    <row r="33" spans="1:59" ht="60.75" customHeight="1">
      <c r="A33" s="25">
        <v>32</v>
      </c>
      <c r="B33" s="25" t="s">
        <v>113</v>
      </c>
      <c r="C33" s="25" t="s">
        <v>114</v>
      </c>
      <c r="D33" s="33" t="s">
        <v>60</v>
      </c>
      <c r="E33" s="16"/>
      <c r="F33" s="16"/>
      <c r="G33" s="16" t="e">
        <f t="shared" si="5"/>
        <v>#DIV/0!</v>
      </c>
      <c r="H33" s="16">
        <f t="shared" si="6"/>
        <v>642.5</v>
      </c>
      <c r="I33" s="188"/>
      <c r="J33" s="188"/>
      <c r="K33" s="188"/>
      <c r="L33" s="188"/>
      <c r="M33" s="17"/>
      <c r="N33" s="17"/>
      <c r="O33" s="17"/>
      <c r="P33" s="17"/>
      <c r="Q33" s="17"/>
      <c r="R33" s="17"/>
      <c r="S33" s="17">
        <f t="shared" si="7"/>
        <v>0</v>
      </c>
      <c r="T33" s="213"/>
      <c r="U33" s="17"/>
      <c r="V33" s="17"/>
      <c r="W33" s="17"/>
      <c r="X33" s="17"/>
      <c r="Y33" s="17"/>
      <c r="Z33" s="17"/>
      <c r="AA33" s="17"/>
      <c r="AB33" s="17"/>
      <c r="AC33" s="17">
        <f t="shared" si="8"/>
        <v>0</v>
      </c>
      <c r="AD33" s="17"/>
      <c r="AE33" s="17"/>
      <c r="AF33" s="17"/>
      <c r="AG33" s="17"/>
      <c r="AH33" s="17"/>
      <c r="AI33" s="17">
        <f t="shared" si="9"/>
        <v>0</v>
      </c>
      <c r="AJ33" s="17"/>
      <c r="AK33" s="17">
        <v>168</v>
      </c>
      <c r="AL33" s="18">
        <v>1752</v>
      </c>
      <c r="AM33" s="18">
        <v>472</v>
      </c>
      <c r="AN33" s="18">
        <v>178</v>
      </c>
      <c r="AO33" s="18">
        <v>1990</v>
      </c>
      <c r="AP33" s="18">
        <f t="shared" si="10"/>
        <v>4560</v>
      </c>
      <c r="AQ33" s="18"/>
      <c r="AR33" s="44">
        <f t="shared" si="11"/>
        <v>4560</v>
      </c>
      <c r="AS33" s="35">
        <v>25.76</v>
      </c>
      <c r="AT33" s="44">
        <f t="shared" si="2"/>
        <v>117465.60000000001</v>
      </c>
      <c r="AU33" s="60">
        <f t="shared" si="12"/>
        <v>1.3274585705326858</v>
      </c>
      <c r="AV33" s="60">
        <f t="shared" si="13"/>
        <v>265491.71410653717</v>
      </c>
      <c r="AW33" s="60">
        <f t="shared" si="14"/>
        <v>10306.355361278616</v>
      </c>
      <c r="AY33" s="9"/>
      <c r="BA33" s="22"/>
      <c r="BB33" s="22"/>
      <c r="BC33" s="23"/>
      <c r="BD33" s="23">
        <f t="shared" si="16"/>
        <v>0</v>
      </c>
      <c r="BE33" s="23">
        <f t="shared" si="17"/>
        <v>0</v>
      </c>
      <c r="BF33" s="9"/>
      <c r="BG33" s="45">
        <v>4750</v>
      </c>
    </row>
    <row r="34" spans="1:59" ht="48.75" customHeight="1">
      <c r="A34" s="25">
        <v>33</v>
      </c>
      <c r="B34" s="14" t="s">
        <v>115</v>
      </c>
      <c r="C34" s="14" t="s">
        <v>116</v>
      </c>
      <c r="D34" s="33" t="s">
        <v>39</v>
      </c>
      <c r="E34" s="16">
        <f>AVERAGE(N34:R34)</f>
        <v>401.4</v>
      </c>
      <c r="F34" s="16">
        <f>AVERAGE(U34:AB34)</f>
        <v>514.5</v>
      </c>
      <c r="G34" s="16">
        <f t="shared" si="5"/>
        <v>882.75</v>
      </c>
      <c r="H34" s="16">
        <f t="shared" si="6"/>
        <v>838.25</v>
      </c>
      <c r="I34" s="188"/>
      <c r="J34" s="188"/>
      <c r="K34" s="188"/>
      <c r="L34" s="188"/>
      <c r="M34" s="17">
        <v>647</v>
      </c>
      <c r="N34" s="17">
        <f>118+269</f>
        <v>387</v>
      </c>
      <c r="O34" s="17">
        <f>20+54+196</f>
        <v>270</v>
      </c>
      <c r="P34" s="17">
        <f>254+23+229</f>
        <v>506</v>
      </c>
      <c r="Q34" s="17">
        <f>90+362</f>
        <v>452</v>
      </c>
      <c r="R34" s="17">
        <f>215+143+8+26</f>
        <v>392</v>
      </c>
      <c r="S34" s="17">
        <f t="shared" si="7"/>
        <v>2654</v>
      </c>
      <c r="T34" s="213"/>
      <c r="U34" s="17">
        <v>422</v>
      </c>
      <c r="V34" s="17">
        <v>557</v>
      </c>
      <c r="W34" s="17">
        <v>504</v>
      </c>
      <c r="X34" s="17">
        <v>431</v>
      </c>
      <c r="Y34" s="17">
        <v>653</v>
      </c>
      <c r="Z34" s="17">
        <v>459</v>
      </c>
      <c r="AA34" s="17">
        <v>534</v>
      </c>
      <c r="AB34" s="17">
        <v>556</v>
      </c>
      <c r="AC34" s="17">
        <f t="shared" si="8"/>
        <v>4116</v>
      </c>
      <c r="AD34" s="17"/>
      <c r="AE34" s="17">
        <v>849</v>
      </c>
      <c r="AF34" s="17">
        <v>896</v>
      </c>
      <c r="AG34" s="17">
        <v>844</v>
      </c>
      <c r="AH34" s="17">
        <v>942</v>
      </c>
      <c r="AI34" s="17">
        <f t="shared" si="9"/>
        <v>3531</v>
      </c>
      <c r="AJ34" s="17"/>
      <c r="AK34" s="17">
        <v>956</v>
      </c>
      <c r="AL34" s="18">
        <v>888</v>
      </c>
      <c r="AM34" s="18">
        <v>844</v>
      </c>
      <c r="AN34" s="18">
        <v>665</v>
      </c>
      <c r="AO34" s="18">
        <v>651</v>
      </c>
      <c r="AP34" s="18">
        <f t="shared" si="10"/>
        <v>4004</v>
      </c>
      <c r="AQ34" s="18"/>
      <c r="AR34" s="44">
        <f t="shared" si="11"/>
        <v>24606</v>
      </c>
      <c r="AS34" s="46">
        <v>4.8</v>
      </c>
      <c r="AT34" s="44">
        <f t="shared" si="2"/>
        <v>118108.79999999999</v>
      </c>
      <c r="AU34" s="60">
        <f t="shared" si="12"/>
        <v>1.3347272632611662</v>
      </c>
      <c r="AV34" s="60">
        <f t="shared" si="13"/>
        <v>266945.45265223325</v>
      </c>
      <c r="AW34" s="60">
        <f>AV34/AS34</f>
        <v>55613.635969215262</v>
      </c>
      <c r="AX34" s="11">
        <f t="shared" ref="AX34:AX42" si="21">AW34/BE34</f>
        <v>9268.8781587938611</v>
      </c>
      <c r="AY34" s="9"/>
      <c r="BA34" s="22">
        <f>[1]საპენსიო!D23</f>
        <v>1.9255583126550868</v>
      </c>
      <c r="BB34" s="22">
        <f>[1]შშმპ!D23</f>
        <v>2.0744680851063828</v>
      </c>
      <c r="BC34" s="23">
        <f t="shared" si="15"/>
        <v>2.000013198880735</v>
      </c>
      <c r="BD34" s="23">
        <f t="shared" si="16"/>
        <v>0.50000329972018376</v>
      </c>
      <c r="BE34" s="23">
        <f t="shared" si="17"/>
        <v>6.0000395966422051</v>
      </c>
      <c r="BF34" s="9"/>
      <c r="BG34" s="21">
        <v>2015</v>
      </c>
    </row>
    <row r="35" spans="1:59" ht="85.5" customHeight="1">
      <c r="A35" s="25">
        <v>34</v>
      </c>
      <c r="B35" s="25" t="s">
        <v>117</v>
      </c>
      <c r="C35" s="25" t="s">
        <v>118</v>
      </c>
      <c r="D35" s="33" t="s">
        <v>98</v>
      </c>
      <c r="E35" s="16">
        <f>AVERAGE(N35:R35)</f>
        <v>53.2</v>
      </c>
      <c r="F35" s="16">
        <f>AVERAGE(U35:AB35)</f>
        <v>113.75</v>
      </c>
      <c r="G35" s="16">
        <f t="shared" si="5"/>
        <v>252.5</v>
      </c>
      <c r="H35" s="16">
        <f t="shared" si="6"/>
        <v>310.5</v>
      </c>
      <c r="I35" s="188"/>
      <c r="J35" s="188"/>
      <c r="K35" s="188"/>
      <c r="L35" s="188"/>
      <c r="M35" s="17">
        <v>0</v>
      </c>
      <c r="N35" s="17">
        <v>10</v>
      </c>
      <c r="O35" s="17">
        <v>41</v>
      </c>
      <c r="P35" s="17">
        <v>62</v>
      </c>
      <c r="Q35" s="17">
        <v>65</v>
      </c>
      <c r="R35" s="17">
        <v>88</v>
      </c>
      <c r="S35" s="17">
        <f t="shared" si="7"/>
        <v>266</v>
      </c>
      <c r="T35" s="213"/>
      <c r="U35" s="17">
        <v>84</v>
      </c>
      <c r="V35" s="17">
        <v>83</v>
      </c>
      <c r="W35" s="17">
        <v>104</v>
      </c>
      <c r="X35" s="17">
        <v>114</v>
      </c>
      <c r="Y35" s="17">
        <v>141</v>
      </c>
      <c r="Z35" s="17">
        <v>142</v>
      </c>
      <c r="AA35" s="17">
        <v>104</v>
      </c>
      <c r="AB35" s="17">
        <v>138</v>
      </c>
      <c r="AC35" s="17">
        <f t="shared" si="8"/>
        <v>910</v>
      </c>
      <c r="AD35" s="17"/>
      <c r="AE35" s="17">
        <v>190</v>
      </c>
      <c r="AF35" s="17">
        <v>242</v>
      </c>
      <c r="AG35" s="17">
        <v>258</v>
      </c>
      <c r="AH35" s="17">
        <v>320</v>
      </c>
      <c r="AI35" s="17">
        <f t="shared" si="9"/>
        <v>1010</v>
      </c>
      <c r="AJ35" s="17"/>
      <c r="AK35" s="17">
        <v>340</v>
      </c>
      <c r="AL35" s="18">
        <v>282</v>
      </c>
      <c r="AM35" s="18">
        <v>338</v>
      </c>
      <c r="AN35" s="18">
        <v>282</v>
      </c>
      <c r="AO35" s="18">
        <v>402</v>
      </c>
      <c r="AP35" s="18">
        <f t="shared" si="10"/>
        <v>1644</v>
      </c>
      <c r="AQ35" s="18"/>
      <c r="AR35" s="44">
        <f t="shared" si="11"/>
        <v>6016</v>
      </c>
      <c r="AS35" s="35">
        <v>79.558000000000007</v>
      </c>
      <c r="AT35" s="44">
        <f t="shared" si="2"/>
        <v>478620.92800000001</v>
      </c>
      <c r="AU35" s="60">
        <f t="shared" si="12"/>
        <v>5.4088129027554235</v>
      </c>
      <c r="AV35" s="60">
        <f t="shared" si="13"/>
        <v>1081762.5805510848</v>
      </c>
      <c r="AW35" s="60">
        <f t="shared" si="14"/>
        <v>13597.156546809683</v>
      </c>
      <c r="AX35" s="11">
        <f t="shared" si="21"/>
        <v>2184.1941641798135</v>
      </c>
      <c r="AY35" s="9"/>
      <c r="BA35" s="22">
        <f>[1]საპენსიო!D26</f>
        <v>2.034782608695652</v>
      </c>
      <c r="BB35" s="22">
        <f>[1]შშმპ!D24</f>
        <v>2.1153846153846154</v>
      </c>
      <c r="BC35" s="23">
        <f t="shared" si="15"/>
        <v>2.0750836120401335</v>
      </c>
      <c r="BD35" s="23">
        <f t="shared" si="16"/>
        <v>0.51877090301003337</v>
      </c>
      <c r="BE35" s="23">
        <f t="shared" si="17"/>
        <v>6.2252508361204004</v>
      </c>
      <c r="BF35" s="9"/>
      <c r="BG35" s="21">
        <v>2530</v>
      </c>
    </row>
    <row r="36" spans="1:59" ht="45" customHeight="1">
      <c r="A36" s="25">
        <v>35</v>
      </c>
      <c r="B36" s="25" t="s">
        <v>119</v>
      </c>
      <c r="C36" s="25" t="s">
        <v>120</v>
      </c>
      <c r="D36" s="33" t="s">
        <v>121</v>
      </c>
      <c r="E36" s="16">
        <f>AVERAGE(N36:R36)</f>
        <v>458.2</v>
      </c>
      <c r="F36" s="16">
        <f>AVERAGE(U36:AB36)</f>
        <v>496.5</v>
      </c>
      <c r="G36" s="16">
        <f t="shared" si="5"/>
        <v>733</v>
      </c>
      <c r="H36" s="16">
        <f t="shared" si="6"/>
        <v>713</v>
      </c>
      <c r="I36" s="188"/>
      <c r="J36" s="188"/>
      <c r="K36" s="188"/>
      <c r="L36" s="188"/>
      <c r="M36" s="17">
        <v>401</v>
      </c>
      <c r="N36" s="17">
        <f>101+62</f>
        <v>163</v>
      </c>
      <c r="O36" s="17">
        <f>18+30+176</f>
        <v>224</v>
      </c>
      <c r="P36" s="17">
        <f>25+8+1017</f>
        <v>1050</v>
      </c>
      <c r="Q36" s="17">
        <v>539</v>
      </c>
      <c r="R36" s="17">
        <v>315</v>
      </c>
      <c r="S36" s="17">
        <f t="shared" si="7"/>
        <v>2692</v>
      </c>
      <c r="T36" s="213"/>
      <c r="U36" s="17">
        <v>419</v>
      </c>
      <c r="V36" s="17">
        <v>564</v>
      </c>
      <c r="W36" s="17">
        <v>377</v>
      </c>
      <c r="X36" s="17">
        <v>511</v>
      </c>
      <c r="Y36" s="17">
        <v>477</v>
      </c>
      <c r="Z36" s="17">
        <v>435</v>
      </c>
      <c r="AA36" s="17">
        <v>530</v>
      </c>
      <c r="AB36" s="17">
        <v>659</v>
      </c>
      <c r="AC36" s="17">
        <f t="shared" si="8"/>
        <v>3972</v>
      </c>
      <c r="AD36" s="17"/>
      <c r="AE36" s="17">
        <v>515</v>
      </c>
      <c r="AF36" s="17">
        <v>837</v>
      </c>
      <c r="AG36" s="17">
        <v>827</v>
      </c>
      <c r="AH36" s="17">
        <v>753</v>
      </c>
      <c r="AI36" s="17">
        <f t="shared" si="9"/>
        <v>2932</v>
      </c>
      <c r="AJ36" s="17"/>
      <c r="AK36" s="17">
        <v>1084</v>
      </c>
      <c r="AL36" s="18">
        <v>482</v>
      </c>
      <c r="AM36" s="18">
        <v>611</v>
      </c>
      <c r="AN36" s="18">
        <v>675</v>
      </c>
      <c r="AO36" s="18">
        <v>782</v>
      </c>
      <c r="AP36" s="18">
        <f t="shared" si="10"/>
        <v>3634</v>
      </c>
      <c r="AQ36" s="18"/>
      <c r="AR36" s="44">
        <f t="shared" si="11"/>
        <v>22826</v>
      </c>
      <c r="AS36" s="39">
        <v>0.36980000000000002</v>
      </c>
      <c r="AT36" s="44">
        <f t="shared" si="2"/>
        <v>8441.0547999999999</v>
      </c>
      <c r="AU36" s="60">
        <f t="shared" si="12"/>
        <v>9.5390910518450209E-2</v>
      </c>
      <c r="AV36" s="60">
        <f t="shared" si="13"/>
        <v>19078.18210369004</v>
      </c>
      <c r="AW36" s="60">
        <f t="shared" si="14"/>
        <v>51590.541113277555</v>
      </c>
      <c r="AX36" s="11">
        <f t="shared" si="21"/>
        <v>1207.6271241662216</v>
      </c>
      <c r="AY36" s="9"/>
      <c r="BA36" s="22">
        <f>[1]საპენსიო!D24</f>
        <v>14.980392156862745</v>
      </c>
      <c r="BB36" s="22">
        <f>[1]შშმპ!D21</f>
        <v>13.5</v>
      </c>
      <c r="BC36" s="23">
        <f t="shared" si="15"/>
        <v>14.240196078431373</v>
      </c>
      <c r="BD36" s="23">
        <f t="shared" si="16"/>
        <v>3.5600490196078431</v>
      </c>
      <c r="BE36" s="23">
        <f t="shared" si="17"/>
        <v>42.720588235294116</v>
      </c>
      <c r="BF36" s="9"/>
      <c r="BG36" s="21">
        <v>8533</v>
      </c>
    </row>
    <row r="37" spans="1:59" s="201" customFormat="1" ht="24.75">
      <c r="A37" s="191">
        <v>36</v>
      </c>
      <c r="B37" s="206" t="s">
        <v>122</v>
      </c>
      <c r="C37" s="207" t="s">
        <v>123</v>
      </c>
      <c r="D37" s="208" t="s">
        <v>81</v>
      </c>
      <c r="E37" s="193"/>
      <c r="F37" s="193"/>
      <c r="G37" s="193">
        <f t="shared" si="5"/>
        <v>12111</v>
      </c>
      <c r="H37" s="193">
        <f t="shared" si="6"/>
        <v>40549.5</v>
      </c>
      <c r="I37" s="193"/>
      <c r="J37" s="193"/>
      <c r="K37" s="193"/>
      <c r="L37" s="193"/>
      <c r="M37" s="208"/>
      <c r="N37" s="208"/>
      <c r="O37" s="208"/>
      <c r="P37" s="208"/>
      <c r="Q37" s="208"/>
      <c r="R37" s="208"/>
      <c r="S37" s="194">
        <f t="shared" si="7"/>
        <v>0</v>
      </c>
      <c r="T37" s="213">
        <f>S37+S38</f>
        <v>0</v>
      </c>
      <c r="U37" s="208"/>
      <c r="V37" s="208"/>
      <c r="W37" s="208"/>
      <c r="X37" s="208"/>
      <c r="Y37" s="208"/>
      <c r="Z37" s="208"/>
      <c r="AA37" s="208"/>
      <c r="AB37" s="208"/>
      <c r="AC37" s="17">
        <f t="shared" si="8"/>
        <v>0</v>
      </c>
      <c r="AD37" s="213">
        <f>AC37+AC38</f>
        <v>0</v>
      </c>
      <c r="AE37" s="208"/>
      <c r="AF37" s="208"/>
      <c r="AG37" s="208"/>
      <c r="AH37" s="194">
        <v>12111</v>
      </c>
      <c r="AI37" s="17">
        <f t="shared" si="9"/>
        <v>12111</v>
      </c>
      <c r="AJ37" s="213">
        <f>AI37+AI38</f>
        <v>14633</v>
      </c>
      <c r="AK37" s="194">
        <v>37545</v>
      </c>
      <c r="AL37" s="21">
        <v>37213</v>
      </c>
      <c r="AM37" s="21">
        <v>44342</v>
      </c>
      <c r="AN37" s="21">
        <v>43098</v>
      </c>
      <c r="AO37" s="21">
        <v>63053</v>
      </c>
      <c r="AP37" s="18">
        <f t="shared" si="10"/>
        <v>225251</v>
      </c>
      <c r="AQ37" s="213">
        <f>AP37+AP38</f>
        <v>299652</v>
      </c>
      <c r="AR37" s="197">
        <f t="shared" si="11"/>
        <v>264106</v>
      </c>
      <c r="AS37" s="209">
        <v>0.57999999999999996</v>
      </c>
      <c r="AT37" s="197">
        <f t="shared" si="2"/>
        <v>153181.47999999998</v>
      </c>
      <c r="AU37" s="199">
        <f t="shared" si="12"/>
        <v>1.7310775961037201</v>
      </c>
      <c r="AV37" s="199">
        <f t="shared" si="13"/>
        <v>346215.51922074403</v>
      </c>
      <c r="AW37" s="199">
        <f t="shared" si="14"/>
        <v>596923.30900128279</v>
      </c>
      <c r="AX37" s="200">
        <f t="shared" si="21"/>
        <v>1670.5282115993798</v>
      </c>
      <c r="BA37" s="202">
        <f>[1]საპენსიო!D34</f>
        <v>128.21739130434781</v>
      </c>
      <c r="BB37" s="202">
        <f>[1]შშმპ!D35</f>
        <v>110</v>
      </c>
      <c r="BC37" s="203">
        <f t="shared" si="15"/>
        <v>119.10869565217391</v>
      </c>
      <c r="BD37" s="203">
        <f t="shared" si="16"/>
        <v>29.777173913043477</v>
      </c>
      <c r="BE37" s="203">
        <f t="shared" si="17"/>
        <v>357.32608695652175</v>
      </c>
      <c r="BG37" s="21">
        <v>310319</v>
      </c>
    </row>
    <row r="38" spans="1:59" ht="36.75">
      <c r="A38" s="25">
        <v>37</v>
      </c>
      <c r="B38" s="47" t="s">
        <v>124</v>
      </c>
      <c r="C38" s="48" t="s">
        <v>125</v>
      </c>
      <c r="D38" s="49" t="s">
        <v>98</v>
      </c>
      <c r="E38" s="16"/>
      <c r="F38" s="16"/>
      <c r="G38" s="16">
        <f t="shared" si="5"/>
        <v>2522</v>
      </c>
      <c r="H38" s="16">
        <f t="shared" si="6"/>
        <v>13491.75</v>
      </c>
      <c r="I38" s="188"/>
      <c r="J38" s="188"/>
      <c r="K38" s="188"/>
      <c r="L38" s="188"/>
      <c r="M38" s="49"/>
      <c r="N38" s="49"/>
      <c r="O38" s="49"/>
      <c r="P38" s="49"/>
      <c r="Q38" s="49"/>
      <c r="R38" s="49"/>
      <c r="S38" s="17">
        <f t="shared" si="7"/>
        <v>0</v>
      </c>
      <c r="T38" s="213"/>
      <c r="U38" s="49"/>
      <c r="V38" s="49"/>
      <c r="W38" s="49"/>
      <c r="X38" s="49"/>
      <c r="Y38" s="49"/>
      <c r="Z38" s="49"/>
      <c r="AA38" s="49"/>
      <c r="AB38" s="49"/>
      <c r="AC38" s="17">
        <f t="shared" si="8"/>
        <v>0</v>
      </c>
      <c r="AD38" s="49"/>
      <c r="AE38" s="49"/>
      <c r="AF38" s="49"/>
      <c r="AG38" s="49"/>
      <c r="AH38" s="17">
        <v>2522</v>
      </c>
      <c r="AI38" s="17">
        <f t="shared" si="9"/>
        <v>2522</v>
      </c>
      <c r="AJ38" s="17"/>
      <c r="AK38" s="17">
        <v>11386</v>
      </c>
      <c r="AL38" s="18">
        <v>12128</v>
      </c>
      <c r="AM38" s="18">
        <v>16396</v>
      </c>
      <c r="AN38" s="18">
        <v>14057</v>
      </c>
      <c r="AO38" s="18">
        <v>20434</v>
      </c>
      <c r="AP38" s="18">
        <f t="shared" si="10"/>
        <v>74401</v>
      </c>
      <c r="AQ38" s="18"/>
      <c r="AR38" s="44">
        <f t="shared" si="11"/>
        <v>79445</v>
      </c>
      <c r="AS38" s="46">
        <v>0.39</v>
      </c>
      <c r="AT38" s="44">
        <f t="shared" si="2"/>
        <v>30983.55</v>
      </c>
      <c r="AU38" s="60">
        <f t="shared" si="12"/>
        <v>0.35013977703283339</v>
      </c>
      <c r="AV38" s="60">
        <f t="shared" si="13"/>
        <v>70027.955406566674</v>
      </c>
      <c r="AW38" s="60">
        <f t="shared" si="14"/>
        <v>179558.86001683763</v>
      </c>
      <c r="AX38" s="11">
        <f t="shared" si="21"/>
        <v>443.0270417390517</v>
      </c>
      <c r="AY38" s="9"/>
      <c r="BA38" s="22">
        <f>[1]საპენსიო!D33</f>
        <v>170.2</v>
      </c>
      <c r="BB38" s="22">
        <f>[1]შშმპ!D34</f>
        <v>100</v>
      </c>
      <c r="BC38" s="23">
        <f t="shared" si="15"/>
        <v>135.1</v>
      </c>
      <c r="BD38" s="23">
        <f t="shared" si="16"/>
        <v>33.774999999999999</v>
      </c>
      <c r="BE38" s="23">
        <f t="shared" si="17"/>
        <v>405.29999999999995</v>
      </c>
      <c r="BF38" s="9"/>
      <c r="BG38" s="21">
        <v>194503</v>
      </c>
    </row>
    <row r="39" spans="1:59" s="201" customFormat="1" ht="24.75">
      <c r="A39" s="191">
        <v>38</v>
      </c>
      <c r="B39" s="210" t="s">
        <v>126</v>
      </c>
      <c r="C39" s="207" t="s">
        <v>127</v>
      </c>
      <c r="D39" s="208" t="s">
        <v>128</v>
      </c>
      <c r="E39" s="193"/>
      <c r="F39" s="193"/>
      <c r="G39" s="193">
        <f t="shared" si="5"/>
        <v>2254</v>
      </c>
      <c r="H39" s="193">
        <f t="shared" si="6"/>
        <v>13798</v>
      </c>
      <c r="I39" s="193"/>
      <c r="J39" s="193"/>
      <c r="K39" s="193"/>
      <c r="L39" s="193"/>
      <c r="M39" s="208"/>
      <c r="N39" s="208"/>
      <c r="O39" s="208"/>
      <c r="P39" s="208"/>
      <c r="Q39" s="208"/>
      <c r="R39" s="208"/>
      <c r="S39" s="194">
        <f t="shared" si="7"/>
        <v>0</v>
      </c>
      <c r="T39" s="213">
        <f>S39+S40+S41+S42+S43+S44</f>
        <v>0</v>
      </c>
      <c r="U39" s="208"/>
      <c r="V39" s="208"/>
      <c r="W39" s="208"/>
      <c r="X39" s="208"/>
      <c r="Y39" s="208"/>
      <c r="Z39" s="208"/>
      <c r="AA39" s="208"/>
      <c r="AB39" s="208"/>
      <c r="AC39" s="17">
        <f t="shared" si="8"/>
        <v>0</v>
      </c>
      <c r="AD39" s="213">
        <f>AC39+AC40</f>
        <v>0</v>
      </c>
      <c r="AE39" s="208"/>
      <c r="AF39" s="208"/>
      <c r="AG39" s="208"/>
      <c r="AH39" s="194">
        <v>2254</v>
      </c>
      <c r="AI39" s="17">
        <f t="shared" si="9"/>
        <v>2254</v>
      </c>
      <c r="AJ39" s="213">
        <f>AI39+AI40</f>
        <v>5835</v>
      </c>
      <c r="AK39" s="194">
        <v>9669</v>
      </c>
      <c r="AL39" s="21">
        <v>16679</v>
      </c>
      <c r="AM39" s="21">
        <v>15229</v>
      </c>
      <c r="AN39" s="21">
        <v>13615</v>
      </c>
      <c r="AO39" s="21">
        <v>28108</v>
      </c>
      <c r="AP39" s="18">
        <f t="shared" si="10"/>
        <v>83300</v>
      </c>
      <c r="AQ39" s="213">
        <f>AP39+AP40</f>
        <v>285145</v>
      </c>
      <c r="AR39" s="197">
        <f t="shared" si="11"/>
        <v>93643</v>
      </c>
      <c r="AS39" s="198">
        <v>0.70299999999999996</v>
      </c>
      <c r="AT39" s="197">
        <f t="shared" si="2"/>
        <v>65831.028999999995</v>
      </c>
      <c r="AU39" s="199">
        <f t="shared" si="12"/>
        <v>0.74394515205333112</v>
      </c>
      <c r="AV39" s="199">
        <f t="shared" si="13"/>
        <v>148789.03041066622</v>
      </c>
      <c r="AW39" s="199">
        <f t="shared" si="14"/>
        <v>211648.69190706435</v>
      </c>
      <c r="AX39" s="200">
        <f t="shared" si="21"/>
        <v>578.27511450017585</v>
      </c>
      <c r="BA39" s="202">
        <f>[1]საპენსიო!D32</f>
        <v>30</v>
      </c>
      <c r="BB39" s="202">
        <f>[1]შშმპ!D33</f>
        <v>214</v>
      </c>
      <c r="BC39" s="203">
        <f t="shared" si="15"/>
        <v>122</v>
      </c>
      <c r="BD39" s="203">
        <f t="shared" si="16"/>
        <v>30.5</v>
      </c>
      <c r="BE39" s="203">
        <f t="shared" si="17"/>
        <v>366</v>
      </c>
      <c r="BG39" s="21">
        <v>1841431</v>
      </c>
    </row>
    <row r="40" spans="1:59">
      <c r="A40" s="25">
        <v>39</v>
      </c>
      <c r="B40" s="50" t="s">
        <v>129</v>
      </c>
      <c r="C40" s="48" t="s">
        <v>130</v>
      </c>
      <c r="D40" s="49" t="s">
        <v>131</v>
      </c>
      <c r="E40" s="16"/>
      <c r="F40" s="16"/>
      <c r="G40" s="16">
        <f t="shared" si="5"/>
        <v>3581</v>
      </c>
      <c r="H40" s="16">
        <f t="shared" si="6"/>
        <v>34071.75</v>
      </c>
      <c r="I40" s="188"/>
      <c r="J40" s="188"/>
      <c r="K40" s="188"/>
      <c r="L40" s="188"/>
      <c r="M40" s="49"/>
      <c r="N40" s="49"/>
      <c r="O40" s="49"/>
      <c r="P40" s="49"/>
      <c r="Q40" s="49"/>
      <c r="R40" s="49"/>
      <c r="S40" s="17">
        <f t="shared" si="7"/>
        <v>0</v>
      </c>
      <c r="T40" s="213"/>
      <c r="U40" s="49"/>
      <c r="V40" s="49"/>
      <c r="W40" s="49"/>
      <c r="X40" s="49"/>
      <c r="Y40" s="49"/>
      <c r="Z40" s="49"/>
      <c r="AA40" s="49"/>
      <c r="AB40" s="49"/>
      <c r="AC40" s="17">
        <f t="shared" si="8"/>
        <v>0</v>
      </c>
      <c r="AD40" s="49"/>
      <c r="AE40" s="49"/>
      <c r="AF40" s="49"/>
      <c r="AG40" s="49"/>
      <c r="AH40" s="17">
        <v>3581</v>
      </c>
      <c r="AI40" s="17">
        <f t="shared" si="9"/>
        <v>3581</v>
      </c>
      <c r="AJ40" s="17"/>
      <c r="AK40" s="17">
        <v>29394</v>
      </c>
      <c r="AL40" s="18">
        <v>42380</v>
      </c>
      <c r="AM40" s="18">
        <v>29080</v>
      </c>
      <c r="AN40" s="18">
        <v>35433</v>
      </c>
      <c r="AO40" s="18">
        <v>65558</v>
      </c>
      <c r="AP40" s="18">
        <f t="shared" si="10"/>
        <v>201845</v>
      </c>
      <c r="AQ40" s="18"/>
      <c r="AR40" s="44">
        <f t="shared" si="11"/>
        <v>209007</v>
      </c>
      <c r="AS40" s="39">
        <v>6.9599999999999995E-2</v>
      </c>
      <c r="AT40" s="44">
        <f t="shared" si="2"/>
        <v>14546.887199999999</v>
      </c>
      <c r="AU40" s="60">
        <f t="shared" si="12"/>
        <v>0.16439187377591585</v>
      </c>
      <c r="AV40" s="60">
        <f t="shared" si="13"/>
        <v>32878.374755183169</v>
      </c>
      <c r="AW40" s="60">
        <f t="shared" si="14"/>
        <v>472390.44188481569</v>
      </c>
      <c r="AX40" s="11">
        <f t="shared" si="21"/>
        <v>489.77754472246312</v>
      </c>
      <c r="AY40" s="9"/>
      <c r="BA40" s="22">
        <f>[1]საპენსიო!D36</f>
        <v>275</v>
      </c>
      <c r="BB40" s="22">
        <f>[1]შშმპ!D37</f>
        <v>368</v>
      </c>
      <c r="BC40" s="23">
        <f t="shared" si="15"/>
        <v>321.5</v>
      </c>
      <c r="BD40" s="23">
        <f t="shared" si="16"/>
        <v>80.375</v>
      </c>
      <c r="BE40" s="23">
        <f t="shared" si="17"/>
        <v>964.5</v>
      </c>
      <c r="BF40" s="9"/>
      <c r="BG40" s="21">
        <v>948766</v>
      </c>
    </row>
    <row r="41" spans="1:59" ht="24.75">
      <c r="A41" s="25">
        <v>40</v>
      </c>
      <c r="B41" s="47" t="s">
        <v>132</v>
      </c>
      <c r="C41" s="48" t="s">
        <v>133</v>
      </c>
      <c r="D41" s="49" t="s">
        <v>134</v>
      </c>
      <c r="E41" s="16"/>
      <c r="F41" s="16"/>
      <c r="G41" s="16">
        <f t="shared" si="5"/>
        <v>92</v>
      </c>
      <c r="H41" s="16">
        <f t="shared" si="6"/>
        <v>5311</v>
      </c>
      <c r="I41" s="188"/>
      <c r="J41" s="188"/>
      <c r="K41" s="188"/>
      <c r="L41" s="188"/>
      <c r="M41" s="49"/>
      <c r="N41" s="49"/>
      <c r="O41" s="49"/>
      <c r="P41" s="49"/>
      <c r="Q41" s="49"/>
      <c r="R41" s="49"/>
      <c r="S41" s="17">
        <f t="shared" si="7"/>
        <v>0</v>
      </c>
      <c r="T41" s="213"/>
      <c r="U41" s="49"/>
      <c r="V41" s="49"/>
      <c r="W41" s="49"/>
      <c r="X41" s="49"/>
      <c r="Y41" s="49"/>
      <c r="Z41" s="49"/>
      <c r="AA41" s="49"/>
      <c r="AB41" s="49"/>
      <c r="AC41" s="17">
        <f t="shared" si="8"/>
        <v>0</v>
      </c>
      <c r="AD41" s="49"/>
      <c r="AE41" s="49"/>
      <c r="AF41" s="49"/>
      <c r="AG41" s="49"/>
      <c r="AH41" s="17">
        <v>92</v>
      </c>
      <c r="AI41" s="17">
        <f t="shared" si="9"/>
        <v>92</v>
      </c>
      <c r="AJ41" s="17"/>
      <c r="AK41" s="17">
        <v>5662</v>
      </c>
      <c r="AL41" s="18">
        <v>3330</v>
      </c>
      <c r="AM41" s="18">
        <v>4580</v>
      </c>
      <c r="AN41" s="18">
        <v>7672</v>
      </c>
      <c r="AO41" s="18">
        <v>9578</v>
      </c>
      <c r="AP41" s="18">
        <f t="shared" si="10"/>
        <v>30822</v>
      </c>
      <c r="AQ41" s="18"/>
      <c r="AR41" s="44">
        <f t="shared" si="11"/>
        <v>31006</v>
      </c>
      <c r="AS41" s="39">
        <f>0.0653*3.0274</f>
        <v>0.19768922</v>
      </c>
      <c r="AT41" s="44">
        <f t="shared" si="2"/>
        <v>6129.5519553200002</v>
      </c>
      <c r="AU41" s="60">
        <f t="shared" si="12"/>
        <v>6.9269013878232574E-2</v>
      </c>
      <c r="AV41" s="60">
        <f t="shared" si="13"/>
        <v>13853.802775646516</v>
      </c>
      <c r="AW41" s="60">
        <f t="shared" si="14"/>
        <v>70078.696125395785</v>
      </c>
      <c r="AX41" s="11">
        <f t="shared" si="21"/>
        <v>253.90831929491227</v>
      </c>
      <c r="AY41" s="9"/>
      <c r="BA41" s="22"/>
      <c r="BB41" s="22">
        <f>[1]შშმპ!D29</f>
        <v>92</v>
      </c>
      <c r="BC41" s="23">
        <f t="shared" si="15"/>
        <v>92</v>
      </c>
      <c r="BD41" s="23">
        <f t="shared" si="16"/>
        <v>23</v>
      </c>
      <c r="BE41" s="23">
        <f t="shared" si="17"/>
        <v>276</v>
      </c>
      <c r="BF41" s="9"/>
      <c r="BG41" s="21">
        <v>235752</v>
      </c>
    </row>
    <row r="42" spans="1:59" ht="24.75">
      <c r="A42" s="25">
        <v>41</v>
      </c>
      <c r="B42" s="47" t="s">
        <v>135</v>
      </c>
      <c r="C42" s="48" t="s">
        <v>136</v>
      </c>
      <c r="D42" s="49" t="s">
        <v>98</v>
      </c>
      <c r="E42" s="16"/>
      <c r="F42" s="16"/>
      <c r="G42" s="16">
        <f t="shared" si="5"/>
        <v>276</v>
      </c>
      <c r="H42" s="16">
        <f t="shared" si="6"/>
        <v>13475.5</v>
      </c>
      <c r="I42" s="188"/>
      <c r="J42" s="188"/>
      <c r="K42" s="188"/>
      <c r="L42" s="188"/>
      <c r="M42" s="49"/>
      <c r="N42" s="49"/>
      <c r="O42" s="49"/>
      <c r="P42" s="49"/>
      <c r="Q42" s="49"/>
      <c r="R42" s="49"/>
      <c r="S42" s="17">
        <f t="shared" si="7"/>
        <v>0</v>
      </c>
      <c r="T42" s="213"/>
      <c r="U42" s="49"/>
      <c r="V42" s="49"/>
      <c r="W42" s="49"/>
      <c r="X42" s="49"/>
      <c r="Y42" s="49"/>
      <c r="Z42" s="49"/>
      <c r="AA42" s="49"/>
      <c r="AB42" s="49"/>
      <c r="AC42" s="17">
        <f t="shared" si="8"/>
        <v>0</v>
      </c>
      <c r="AD42" s="49"/>
      <c r="AE42" s="49"/>
      <c r="AF42" s="49"/>
      <c r="AG42" s="49"/>
      <c r="AH42" s="17">
        <v>276</v>
      </c>
      <c r="AI42" s="17">
        <f t="shared" si="9"/>
        <v>276</v>
      </c>
      <c r="AJ42" s="17"/>
      <c r="AK42" s="17">
        <v>11673</v>
      </c>
      <c r="AL42" s="18">
        <v>12009</v>
      </c>
      <c r="AM42" s="18">
        <v>11266</v>
      </c>
      <c r="AN42" s="18">
        <v>18954</v>
      </c>
      <c r="AO42" s="18">
        <v>27322</v>
      </c>
      <c r="AP42" s="18">
        <f t="shared" si="10"/>
        <v>81224</v>
      </c>
      <c r="AQ42" s="18"/>
      <c r="AR42" s="44">
        <f t="shared" si="11"/>
        <v>81776</v>
      </c>
      <c r="AS42" s="39">
        <f>0.0911*3.0274</f>
        <v>0.27579614000000002</v>
      </c>
      <c r="AT42" s="44">
        <f t="shared" si="2"/>
        <v>22553.505144640003</v>
      </c>
      <c r="AU42" s="60">
        <f t="shared" si="12"/>
        <v>0.25487328800776904</v>
      </c>
      <c r="AV42" s="60">
        <f t="shared" si="13"/>
        <v>50974.657601553808</v>
      </c>
      <c r="AW42" s="60">
        <f t="shared" si="14"/>
        <v>184827.30614559655</v>
      </c>
      <c r="AX42" s="11">
        <f t="shared" si="21"/>
        <v>684.54557831702425</v>
      </c>
      <c r="AY42" s="9"/>
      <c r="BA42" s="22"/>
      <c r="BB42" s="22">
        <f>[1]შშმპ!D30</f>
        <v>90</v>
      </c>
      <c r="BC42" s="23">
        <f t="shared" si="15"/>
        <v>90</v>
      </c>
      <c r="BD42" s="23">
        <f t="shared" si="16"/>
        <v>22.5</v>
      </c>
      <c r="BE42" s="23">
        <f t="shared" si="17"/>
        <v>270</v>
      </c>
      <c r="BF42" s="9"/>
      <c r="BG42" s="21">
        <v>1175322</v>
      </c>
    </row>
    <row r="43" spans="1:59">
      <c r="A43" s="25">
        <v>42</v>
      </c>
      <c r="B43" s="50" t="s">
        <v>137</v>
      </c>
      <c r="C43" s="48" t="s">
        <v>138</v>
      </c>
      <c r="D43" s="49" t="s">
        <v>139</v>
      </c>
      <c r="E43" s="16"/>
      <c r="F43" s="16"/>
      <c r="G43" s="16"/>
      <c r="H43" s="16">
        <f t="shared" si="6"/>
        <v>2032</v>
      </c>
      <c r="I43" s="188"/>
      <c r="J43" s="188"/>
      <c r="K43" s="188"/>
      <c r="L43" s="188"/>
      <c r="M43" s="49"/>
      <c r="N43" s="49"/>
      <c r="O43" s="49"/>
      <c r="P43" s="49"/>
      <c r="Q43" s="49"/>
      <c r="R43" s="49"/>
      <c r="S43" s="17">
        <f t="shared" si="7"/>
        <v>0</v>
      </c>
      <c r="T43" s="213"/>
      <c r="U43" s="49"/>
      <c r="V43" s="49"/>
      <c r="W43" s="49"/>
      <c r="X43" s="49"/>
      <c r="Y43" s="49"/>
      <c r="Z43" s="49"/>
      <c r="AA43" s="49"/>
      <c r="AB43" s="49"/>
      <c r="AC43" s="17">
        <f t="shared" si="8"/>
        <v>0</v>
      </c>
      <c r="AD43" s="49"/>
      <c r="AE43" s="49"/>
      <c r="AF43" s="49"/>
      <c r="AG43" s="49"/>
      <c r="AH43" s="17"/>
      <c r="AI43" s="17">
        <f t="shared" si="9"/>
        <v>0</v>
      </c>
      <c r="AJ43" s="17"/>
      <c r="AK43" s="17">
        <v>1803</v>
      </c>
      <c r="AL43" s="18">
        <v>1784</v>
      </c>
      <c r="AM43" s="18">
        <v>1724</v>
      </c>
      <c r="AN43" s="18">
        <v>2817</v>
      </c>
      <c r="AO43" s="18">
        <v>3408</v>
      </c>
      <c r="AP43" s="18">
        <f t="shared" si="10"/>
        <v>11536</v>
      </c>
      <c r="AQ43" s="18"/>
      <c r="AR43" s="44">
        <f t="shared" si="11"/>
        <v>11536</v>
      </c>
      <c r="AS43" s="39">
        <v>1.0943000000000001</v>
      </c>
      <c r="AT43" s="44">
        <f t="shared" si="2"/>
        <v>12623.844800000001</v>
      </c>
      <c r="AU43" s="60">
        <f t="shared" si="12"/>
        <v>0.14265990190178637</v>
      </c>
      <c r="AV43" s="60">
        <f t="shared" si="13"/>
        <v>28531.980380357276</v>
      </c>
      <c r="AW43" s="60">
        <f t="shared" si="14"/>
        <v>26073.270931515373</v>
      </c>
      <c r="AY43" s="9"/>
      <c r="BA43" s="22"/>
      <c r="BB43" s="22"/>
      <c r="BC43" s="23"/>
      <c r="BD43" s="23">
        <f t="shared" si="16"/>
        <v>0</v>
      </c>
      <c r="BE43" s="23">
        <f t="shared" si="17"/>
        <v>0</v>
      </c>
      <c r="BF43" s="9"/>
      <c r="BG43" s="21">
        <v>449555</v>
      </c>
    </row>
    <row r="44" spans="1:59">
      <c r="A44" s="25">
        <v>43</v>
      </c>
      <c r="B44" s="50" t="s">
        <v>140</v>
      </c>
      <c r="C44" s="48" t="s">
        <v>141</v>
      </c>
      <c r="D44" s="49" t="s">
        <v>142</v>
      </c>
      <c r="E44" s="16"/>
      <c r="F44" s="16"/>
      <c r="G44" s="16">
        <f t="shared" si="5"/>
        <v>990</v>
      </c>
      <c r="H44" s="16">
        <f t="shared" si="6"/>
        <v>6296.5</v>
      </c>
      <c r="I44" s="188"/>
      <c r="J44" s="188"/>
      <c r="K44" s="188"/>
      <c r="L44" s="188"/>
      <c r="M44" s="49"/>
      <c r="N44" s="49"/>
      <c r="O44" s="49"/>
      <c r="P44" s="49"/>
      <c r="Q44" s="49"/>
      <c r="R44" s="49"/>
      <c r="S44" s="17">
        <f t="shared" si="7"/>
        <v>0</v>
      </c>
      <c r="T44" s="213"/>
      <c r="U44" s="49"/>
      <c r="V44" s="49"/>
      <c r="W44" s="49"/>
      <c r="X44" s="49"/>
      <c r="Y44" s="49"/>
      <c r="Z44" s="49"/>
      <c r="AA44" s="49"/>
      <c r="AB44" s="49"/>
      <c r="AC44" s="17">
        <f t="shared" si="8"/>
        <v>0</v>
      </c>
      <c r="AD44" s="49"/>
      <c r="AE44" s="49"/>
      <c r="AF44" s="49"/>
      <c r="AG44" s="49"/>
      <c r="AH44" s="17">
        <v>990</v>
      </c>
      <c r="AI44" s="17">
        <f t="shared" si="9"/>
        <v>990</v>
      </c>
      <c r="AJ44" s="17"/>
      <c r="AK44" s="17">
        <v>2878</v>
      </c>
      <c r="AL44" s="18">
        <v>5373</v>
      </c>
      <c r="AM44" s="18">
        <v>6512</v>
      </c>
      <c r="AN44" s="18">
        <v>10423</v>
      </c>
      <c r="AO44" s="18">
        <v>8244</v>
      </c>
      <c r="AP44" s="18">
        <f t="shared" si="10"/>
        <v>33430</v>
      </c>
      <c r="AQ44" s="18"/>
      <c r="AR44" s="44">
        <f t="shared" si="11"/>
        <v>35410</v>
      </c>
      <c r="AS44" s="46">
        <v>0.37</v>
      </c>
      <c r="AT44" s="44">
        <f t="shared" si="2"/>
        <v>13101.7</v>
      </c>
      <c r="AU44" s="60">
        <f t="shared" si="12"/>
        <v>0.14806006144392989</v>
      </c>
      <c r="AV44" s="60">
        <f t="shared" si="13"/>
        <v>29612.012288785976</v>
      </c>
      <c r="AW44" s="60">
        <f>AV44/AS44</f>
        <v>80032.465645367498</v>
      </c>
      <c r="AX44" s="11">
        <f>AW44/BE44</f>
        <v>197.61102628485801</v>
      </c>
      <c r="AY44" s="9"/>
      <c r="BA44" s="22"/>
      <c r="BB44" s="22">
        <f>[1]შშმპ!D32</f>
        <v>135</v>
      </c>
      <c r="BC44" s="23">
        <f t="shared" si="15"/>
        <v>135</v>
      </c>
      <c r="BD44" s="23">
        <f t="shared" si="16"/>
        <v>33.75</v>
      </c>
      <c r="BE44" s="23">
        <f t="shared" si="17"/>
        <v>405</v>
      </c>
      <c r="BF44" s="9"/>
      <c r="BG44" s="21">
        <v>165836</v>
      </c>
    </row>
    <row r="45" spans="1:59">
      <c r="E45" s="16"/>
      <c r="F45" s="52"/>
      <c r="G45" s="52"/>
      <c r="H45" s="52"/>
      <c r="I45" s="189"/>
      <c r="J45" s="189"/>
      <c r="K45" s="189"/>
      <c r="L45" s="189"/>
      <c r="AL45" s="54"/>
      <c r="AM45" s="54"/>
      <c r="AN45" s="54"/>
      <c r="AO45" s="54"/>
      <c r="AP45" s="54"/>
      <c r="AQ45" s="54"/>
      <c r="AR45" s="24"/>
      <c r="AT45" s="19">
        <f>SUM(AT3:AT44)</f>
        <v>8848908.9307595585</v>
      </c>
      <c r="AV45" s="11">
        <v>20000000</v>
      </c>
      <c r="AX45" s="11">
        <f>SUM(AX3:AX44)</f>
        <v>584104.71361123084</v>
      </c>
      <c r="AY45" s="9"/>
      <c r="BF45" s="9"/>
    </row>
  </sheetData>
  <mergeCells count="1">
    <mergeCell ref="A3:A4"/>
  </mergeCell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"/>
  <sheetViews>
    <sheetView workbookViewId="0">
      <selection activeCell="E2" sqref="E2:I7"/>
    </sheetView>
  </sheetViews>
  <sheetFormatPr defaultRowHeight="15"/>
  <cols>
    <col min="1" max="1" width="5.85546875" style="132" customWidth="1"/>
    <col min="2" max="2" width="25.140625" style="133" customWidth="1"/>
    <col min="3" max="3" width="26.140625" style="133" customWidth="1"/>
    <col min="4" max="4" width="9.140625" style="131"/>
    <col min="5" max="5" width="14.5703125" style="131" bestFit="1" customWidth="1"/>
    <col min="6" max="6" width="19" style="131" hidden="1" customWidth="1"/>
    <col min="7" max="7" width="16.7109375" style="131" hidden="1" customWidth="1"/>
    <col min="8" max="8" width="16.7109375" style="131" customWidth="1"/>
    <col min="9" max="9" width="14.5703125" style="131" bestFit="1" customWidth="1"/>
    <col min="10" max="16384" width="9.140625" style="131"/>
  </cols>
  <sheetData>
    <row r="2" spans="1:9" ht="43.5" customHeight="1">
      <c r="A2" s="134" t="s">
        <v>0</v>
      </c>
      <c r="B2" s="135" t="s">
        <v>166</v>
      </c>
      <c r="C2" s="136" t="s">
        <v>156</v>
      </c>
      <c r="E2" s="215" t="s">
        <v>287</v>
      </c>
      <c r="F2" s="215" t="s">
        <v>285</v>
      </c>
      <c r="G2" s="215" t="s">
        <v>286</v>
      </c>
      <c r="H2" s="215">
        <v>2018</v>
      </c>
      <c r="I2" s="215" t="s">
        <v>288</v>
      </c>
    </row>
    <row r="3" spans="1:9">
      <c r="A3" s="134">
        <v>1</v>
      </c>
      <c r="B3" s="135" t="s">
        <v>167</v>
      </c>
      <c r="C3" s="137">
        <f>'გულ-სისხლძარღვთა-პროგნოზი'!I27</f>
        <v>1921641.6869627002</v>
      </c>
      <c r="E3" s="216">
        <f>'მედიკამენტ ხარჯვა-მიმართულ-ჯამი'!T3</f>
        <v>2847234</v>
      </c>
      <c r="F3" s="216">
        <f>'მედიკამენტ ხარჯვა-მიმართულ-ჯამი'!AD3</f>
        <v>4658149</v>
      </c>
      <c r="G3" s="216">
        <f>'მედიკამენტ ხარჯვა-მიმართულ-ჯამი'!AJ3</f>
        <v>4573098</v>
      </c>
      <c r="H3" s="216">
        <f>F3+G3</f>
        <v>9231247</v>
      </c>
      <c r="I3" s="216">
        <f>'მედიკამენტ ხარჯვა-მიმართულ-ჯამი'!AQ3</f>
        <v>7974536</v>
      </c>
    </row>
    <row r="4" spans="1:9">
      <c r="A4" s="134">
        <v>2</v>
      </c>
      <c r="B4" s="135" t="s">
        <v>168</v>
      </c>
      <c r="C4" s="137">
        <f>'პარკინსონი-ეპილეფსია-პროგნოზი'!J12</f>
        <v>296060.03635708004</v>
      </c>
      <c r="E4" s="216">
        <f>'მედიკამენტ ხარჯვა-მიმართულ-ჯამი'!T37+'მედიკამენტ ხარჯვა-მიმართულ-ჯამი'!T39</f>
        <v>0</v>
      </c>
      <c r="F4" s="216">
        <f>'მედიკამენტ ხარჯვა-მიმართულ-ჯამი'!AD37+'მედიკამენტ ხარჯვა-მიმართულ-ჯამი'!AD39</f>
        <v>0</v>
      </c>
      <c r="G4" s="216">
        <f>'მედიკამენტ ხარჯვა-მიმართულ-ჯამი'!AJ37+'მედიკამენტ ხარჯვა-მიმართულ-ჯამი'!AJ39</f>
        <v>20468</v>
      </c>
      <c r="H4" s="216">
        <f t="shared" ref="H4:H7" si="0">F4+G4</f>
        <v>20468</v>
      </c>
      <c r="I4" s="216">
        <f>'მედიკამენტ ხარჯვა-მიმართულ-ჯამი'!AQ37+'მედიკამენტ ხარჯვა-მიმართულ-ჯამი'!AQ39</f>
        <v>584797</v>
      </c>
    </row>
    <row r="5" spans="1:9">
      <c r="A5" s="162">
        <v>3</v>
      </c>
      <c r="B5" s="163" t="s">
        <v>169</v>
      </c>
      <c r="C5" s="137">
        <f>'ფილტვი-პროგნოზი'!I12</f>
        <v>1473747.9934999999</v>
      </c>
      <c r="E5" s="216">
        <f>'მედიკამენტ ხარჯვა-მიმართულ-ჯამი'!T30</f>
        <v>17559</v>
      </c>
      <c r="F5" s="216">
        <f>'მედიკამენტ ხარჯვა-მიმართულ-ჯამი'!AD30</f>
        <v>28604</v>
      </c>
      <c r="G5" s="216">
        <f>'მედიკამენტ ხარჯვა-მიმართულ-ჯამი'!AJ30</f>
        <v>16592</v>
      </c>
      <c r="H5" s="216">
        <f t="shared" si="0"/>
        <v>45196</v>
      </c>
      <c r="I5" s="216">
        <f>'მედიკამენტ ხარჯვა-მიმართულ-ჯამი'!AQ30</f>
        <v>28597</v>
      </c>
    </row>
    <row r="6" spans="1:9">
      <c r="A6" s="122">
        <v>4</v>
      </c>
      <c r="B6" s="163" t="s">
        <v>170</v>
      </c>
      <c r="C6" s="123">
        <f>'დიაბეტი-პროგნოზი'!I8</f>
        <v>874542.52620000008</v>
      </c>
      <c r="E6" s="216">
        <f>'მედიკამენტ ხარჯვა-მიმართულ-ჯამი'!T25</f>
        <v>1181992</v>
      </c>
      <c r="F6" s="216">
        <f>'მედიკამენტ ხარჯვა-მიმართულ-ჯამი'!AD25</f>
        <v>2269185</v>
      </c>
      <c r="G6" s="216">
        <f>'მედიკამენტ ხარჯვა-მიმართულ-ჯამი'!AJ25</f>
        <v>2213724</v>
      </c>
      <c r="H6" s="216">
        <f t="shared" si="0"/>
        <v>4482909</v>
      </c>
      <c r="I6" s="216">
        <f>'მედიკამენტ ხარჯვა-მიმართულ-ჯამი'!AQ25</f>
        <v>3584828</v>
      </c>
    </row>
    <row r="7" spans="1:9" ht="30">
      <c r="A7" s="162">
        <v>5</v>
      </c>
      <c r="B7" s="163" t="s">
        <v>171</v>
      </c>
      <c r="C7" s="123">
        <f>'ფარისებრი-პროგნოზი'!I7</f>
        <v>75716.755999999994</v>
      </c>
      <c r="E7" s="216">
        <f>'მედიკამენტ ხარჯვა-მიმართულ-ჯამი'!T28</f>
        <v>160259</v>
      </c>
      <c r="F7" s="216">
        <f>'მედიკამენტ ხარჯვა-მიმართულ-ჯამი'!AD28</f>
        <v>321560</v>
      </c>
      <c r="G7" s="216">
        <f>'მედიკამენტ ხარჯვა-მიმართულ-ჯამი'!AJ28</f>
        <v>393353</v>
      </c>
      <c r="H7" s="216">
        <f t="shared" si="0"/>
        <v>714913</v>
      </c>
      <c r="I7" s="216">
        <f>'მედიკამენტ ხარჯვა-მიმართულ-ჯამი'!AQ28</f>
        <v>500966</v>
      </c>
    </row>
    <row r="8" spans="1:9">
      <c r="C8" s="144">
        <f>SUM(C3:C7)</f>
        <v>4641708.9990197802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67"/>
  <sheetViews>
    <sheetView topLeftCell="BN29" workbookViewId="0">
      <selection activeCell="CJ3" sqref="CJ3:CJ54"/>
    </sheetView>
  </sheetViews>
  <sheetFormatPr defaultRowHeight="15"/>
  <cols>
    <col min="1" max="1" width="39.85546875" bestFit="1" customWidth="1"/>
    <col min="2" max="2" width="13.42578125" hidden="1" customWidth="1"/>
    <col min="3" max="3" width="12.28515625" hidden="1" customWidth="1"/>
    <col min="4" max="4" width="13.42578125" hidden="1" customWidth="1"/>
    <col min="5" max="5" width="11.28515625" hidden="1" customWidth="1"/>
    <col min="6" max="6" width="12.28515625" hidden="1" customWidth="1"/>
    <col min="7" max="7" width="9.85546875" hidden="1" customWidth="1"/>
    <col min="8" max="8" width="14.85546875" hidden="1" customWidth="1"/>
    <col min="9" max="9" width="12.28515625" hidden="1" customWidth="1"/>
    <col min="10" max="10" width="13.42578125" hidden="1" customWidth="1"/>
    <col min="11" max="12" width="12.28515625" hidden="1" customWidth="1"/>
    <col min="13" max="13" width="9.85546875" hidden="1" customWidth="1"/>
    <col min="14" max="14" width="14.85546875" hidden="1" customWidth="1"/>
    <col min="15" max="15" width="12.28515625" hidden="1" customWidth="1"/>
    <col min="16" max="16" width="13.42578125" hidden="1" customWidth="1"/>
    <col min="17" max="17" width="11.28515625" hidden="1" customWidth="1"/>
    <col min="18" max="18" width="12.28515625" hidden="1" customWidth="1"/>
    <col min="19" max="19" width="9.85546875" hidden="1" customWidth="1"/>
    <col min="20" max="20" width="14.85546875" hidden="1" customWidth="1"/>
    <col min="21" max="21" width="12.28515625" hidden="1" customWidth="1"/>
    <col min="22" max="22" width="13.42578125" hidden="1" customWidth="1"/>
    <col min="23" max="23" width="11.28515625" hidden="1" customWidth="1"/>
    <col min="24" max="24" width="12.28515625" hidden="1" customWidth="1"/>
    <col min="25" max="25" width="9.85546875" hidden="1" customWidth="1"/>
    <col min="26" max="26" width="14.85546875" hidden="1" customWidth="1"/>
    <col min="27" max="27" width="12.28515625" hidden="1" customWidth="1"/>
    <col min="28" max="28" width="13.42578125" hidden="1" customWidth="1"/>
    <col min="29" max="31" width="12.28515625" hidden="1" customWidth="1"/>
    <col min="32" max="32" width="11.28515625" hidden="1" customWidth="1"/>
    <col min="33" max="33" width="9.28515625" hidden="1" customWidth="1"/>
    <col min="34" max="34" width="14.85546875" hidden="1" customWidth="1"/>
    <col min="35" max="35" width="12.28515625" hidden="1" customWidth="1"/>
    <col min="36" max="36" width="13.42578125" hidden="1" customWidth="1"/>
    <col min="37" max="39" width="12.28515625" hidden="1" customWidth="1"/>
    <col min="40" max="40" width="11.28515625" hidden="1" customWidth="1"/>
    <col min="41" max="41" width="9.28515625" hidden="1" customWidth="1"/>
    <col min="42" max="42" width="14.85546875" hidden="1" customWidth="1"/>
    <col min="43" max="43" width="12.28515625" hidden="1" customWidth="1"/>
    <col min="44" max="44" width="13.42578125" hidden="1" customWidth="1"/>
    <col min="45" max="47" width="12.28515625" hidden="1" customWidth="1"/>
    <col min="48" max="48" width="11.28515625" hidden="1" customWidth="1"/>
    <col min="49" max="49" width="9.28515625" hidden="1" customWidth="1"/>
    <col min="50" max="50" width="14.85546875" hidden="1" customWidth="1"/>
    <col min="51" max="51" width="12.28515625" hidden="1" customWidth="1"/>
    <col min="52" max="52" width="13.42578125" hidden="1" customWidth="1"/>
    <col min="53" max="55" width="12.28515625" hidden="1" customWidth="1"/>
    <col min="56" max="56" width="11.28515625" hidden="1" customWidth="1"/>
    <col min="57" max="57" width="9.28515625" hidden="1" customWidth="1"/>
    <col min="58" max="58" width="14.85546875" hidden="1" customWidth="1"/>
    <col min="59" max="59" width="12.28515625" hidden="1" customWidth="1"/>
    <col min="60" max="60" width="13.42578125" hidden="1" customWidth="1"/>
    <col min="61" max="63" width="12.28515625" hidden="1" customWidth="1"/>
    <col min="64" max="64" width="11.28515625" hidden="1" customWidth="1"/>
    <col min="65" max="65" width="9.28515625" hidden="1" customWidth="1"/>
    <col min="66" max="67" width="9.140625" customWidth="1"/>
    <col min="68" max="68" width="11.5703125" hidden="1" customWidth="1"/>
    <col min="69" max="69" width="0" hidden="1" customWidth="1"/>
    <col min="70" max="70" width="12.28515625" hidden="1" customWidth="1"/>
    <col min="71" max="71" width="0" hidden="1" customWidth="1"/>
    <col min="72" max="72" width="16.140625" hidden="1" customWidth="1"/>
    <col min="73" max="73" width="0" hidden="1" customWidth="1"/>
    <col min="74" max="74" width="10.42578125" hidden="1" customWidth="1"/>
    <col min="77" max="78" width="12.7109375" customWidth="1"/>
    <col min="79" max="80" width="16" customWidth="1"/>
    <col min="81" max="82" width="12" customWidth="1"/>
    <col min="83" max="84" width="13.42578125" customWidth="1"/>
    <col min="85" max="86" width="12.7109375" customWidth="1"/>
    <col min="87" max="87" width="13.42578125" customWidth="1"/>
    <col min="88" max="88" width="11.85546875" customWidth="1"/>
  </cols>
  <sheetData>
    <row r="1" spans="1:88" s="174" customFormat="1" ht="38.25" customHeight="1">
      <c r="A1" s="220" t="s">
        <v>1</v>
      </c>
      <c r="B1" s="220" t="s">
        <v>211</v>
      </c>
      <c r="C1" s="220"/>
      <c r="D1" s="220"/>
      <c r="E1" s="220"/>
      <c r="F1" s="220"/>
      <c r="G1" s="220"/>
      <c r="H1" s="220" t="s">
        <v>212</v>
      </c>
      <c r="I1" s="220"/>
      <c r="J1" s="220"/>
      <c r="K1" s="220"/>
      <c r="L1" s="220"/>
      <c r="M1" s="220"/>
      <c r="N1" s="220" t="s">
        <v>213</v>
      </c>
      <c r="O1" s="220"/>
      <c r="P1" s="220"/>
      <c r="Q1" s="220"/>
      <c r="R1" s="220"/>
      <c r="S1" s="220"/>
      <c r="T1" s="220" t="s">
        <v>214</v>
      </c>
      <c r="U1" s="220"/>
      <c r="V1" s="220"/>
      <c r="W1" s="220"/>
      <c r="X1" s="220"/>
      <c r="Y1" s="220"/>
      <c r="Z1" s="220" t="s">
        <v>215</v>
      </c>
      <c r="AA1" s="220"/>
      <c r="AB1" s="220"/>
      <c r="AC1" s="220"/>
      <c r="AD1" s="220"/>
      <c r="AE1" s="220"/>
      <c r="AF1" s="220"/>
      <c r="AG1" s="220"/>
      <c r="AH1" s="220" t="s">
        <v>216</v>
      </c>
      <c r="AI1" s="220"/>
      <c r="AJ1" s="220"/>
      <c r="AK1" s="220"/>
      <c r="AL1" s="220"/>
      <c r="AM1" s="220"/>
      <c r="AN1" s="220"/>
      <c r="AO1" s="220"/>
      <c r="AP1" s="220" t="s">
        <v>217</v>
      </c>
      <c r="AQ1" s="220"/>
      <c r="AR1" s="220"/>
      <c r="AS1" s="220"/>
      <c r="AT1" s="220"/>
      <c r="AU1" s="220"/>
      <c r="AV1" s="220"/>
      <c r="AW1" s="220"/>
      <c r="AX1" s="220" t="s">
        <v>218</v>
      </c>
      <c r="AY1" s="220"/>
      <c r="AZ1" s="220"/>
      <c r="BA1" s="220"/>
      <c r="BB1" s="220"/>
      <c r="BC1" s="220"/>
      <c r="BD1" s="220"/>
      <c r="BE1" s="220"/>
      <c r="BF1" s="220" t="s">
        <v>219</v>
      </c>
      <c r="BG1" s="220"/>
      <c r="BH1" s="220"/>
      <c r="BI1" s="220"/>
      <c r="BJ1" s="220"/>
      <c r="BK1" s="220"/>
      <c r="BL1" s="220"/>
      <c r="BM1" s="220"/>
      <c r="BP1" s="220" t="s">
        <v>284</v>
      </c>
      <c r="BQ1" s="220"/>
      <c r="BR1" s="220"/>
      <c r="BS1" s="220"/>
      <c r="BT1" s="220"/>
      <c r="BU1" s="220"/>
      <c r="BV1" s="220"/>
      <c r="BY1" s="223" t="s">
        <v>289</v>
      </c>
      <c r="BZ1" s="223"/>
      <c r="CA1" s="223"/>
      <c r="CB1" s="223"/>
      <c r="CC1" s="223"/>
      <c r="CD1" s="223"/>
      <c r="CE1" s="223"/>
      <c r="CF1" s="223"/>
      <c r="CG1" s="223"/>
      <c r="CH1" s="223"/>
      <c r="CI1" s="223"/>
    </row>
    <row r="2" spans="1:88" s="176" customFormat="1" ht="72" customHeight="1">
      <c r="A2" s="220"/>
      <c r="B2" s="175" t="s">
        <v>220</v>
      </c>
      <c r="C2" s="175" t="s">
        <v>221</v>
      </c>
      <c r="D2" s="175" t="s">
        <v>222</v>
      </c>
      <c r="E2" s="175" t="s">
        <v>223</v>
      </c>
      <c r="F2" s="175" t="s">
        <v>224</v>
      </c>
      <c r="G2" s="175" t="s">
        <v>225</v>
      </c>
      <c r="H2" s="175" t="s">
        <v>226</v>
      </c>
      <c r="I2" s="175" t="s">
        <v>221</v>
      </c>
      <c r="J2" s="175" t="s">
        <v>222</v>
      </c>
      <c r="K2" s="175" t="s">
        <v>223</v>
      </c>
      <c r="L2" s="175" t="s">
        <v>224</v>
      </c>
      <c r="M2" s="175" t="s">
        <v>225</v>
      </c>
      <c r="N2" s="175" t="s">
        <v>226</v>
      </c>
      <c r="O2" s="175" t="s">
        <v>221</v>
      </c>
      <c r="P2" s="175" t="s">
        <v>222</v>
      </c>
      <c r="Q2" s="175" t="s">
        <v>223</v>
      </c>
      <c r="R2" s="175" t="s">
        <v>224</v>
      </c>
      <c r="S2" s="175" t="s">
        <v>225</v>
      </c>
      <c r="T2" s="175" t="s">
        <v>226</v>
      </c>
      <c r="U2" s="175" t="s">
        <v>221</v>
      </c>
      <c r="V2" s="175" t="s">
        <v>222</v>
      </c>
      <c r="W2" s="175" t="s">
        <v>223</v>
      </c>
      <c r="X2" s="175" t="s">
        <v>224</v>
      </c>
      <c r="Y2" s="175" t="s">
        <v>225</v>
      </c>
      <c r="Z2" s="175" t="s">
        <v>226</v>
      </c>
      <c r="AA2" s="175" t="s">
        <v>221</v>
      </c>
      <c r="AB2" s="175" t="s">
        <v>222</v>
      </c>
      <c r="AC2" s="175" t="s">
        <v>223</v>
      </c>
      <c r="AD2" s="175" t="s">
        <v>224</v>
      </c>
      <c r="AE2" s="175" t="s">
        <v>225</v>
      </c>
      <c r="AF2" s="175" t="s">
        <v>227</v>
      </c>
      <c r="AG2" s="175" t="s">
        <v>228</v>
      </c>
      <c r="AH2" s="175" t="s">
        <v>226</v>
      </c>
      <c r="AI2" s="175" t="s">
        <v>221</v>
      </c>
      <c r="AJ2" s="175" t="s">
        <v>222</v>
      </c>
      <c r="AK2" s="175" t="s">
        <v>223</v>
      </c>
      <c r="AL2" s="175" t="s">
        <v>224</v>
      </c>
      <c r="AM2" s="175" t="s">
        <v>225</v>
      </c>
      <c r="AN2" s="175" t="s">
        <v>227</v>
      </c>
      <c r="AO2" s="175" t="s">
        <v>228</v>
      </c>
      <c r="AP2" s="175" t="s">
        <v>226</v>
      </c>
      <c r="AQ2" s="175" t="s">
        <v>221</v>
      </c>
      <c r="AR2" s="175" t="s">
        <v>222</v>
      </c>
      <c r="AS2" s="175" t="s">
        <v>223</v>
      </c>
      <c r="AT2" s="175" t="s">
        <v>224</v>
      </c>
      <c r="AU2" s="175" t="s">
        <v>225</v>
      </c>
      <c r="AV2" s="175" t="s">
        <v>227</v>
      </c>
      <c r="AW2" s="175" t="s">
        <v>228</v>
      </c>
      <c r="AX2" s="175" t="s">
        <v>226</v>
      </c>
      <c r="AY2" s="175" t="s">
        <v>221</v>
      </c>
      <c r="AZ2" s="175" t="s">
        <v>222</v>
      </c>
      <c r="BA2" s="175" t="s">
        <v>223</v>
      </c>
      <c r="BB2" s="175" t="s">
        <v>224</v>
      </c>
      <c r="BC2" s="175" t="s">
        <v>225</v>
      </c>
      <c r="BD2" s="175" t="s">
        <v>227</v>
      </c>
      <c r="BE2" s="175" t="s">
        <v>228</v>
      </c>
      <c r="BF2" s="175" t="s">
        <v>226</v>
      </c>
      <c r="BG2" s="175" t="s">
        <v>221</v>
      </c>
      <c r="BH2" s="175" t="s">
        <v>222</v>
      </c>
      <c r="BI2" s="175" t="s">
        <v>223</v>
      </c>
      <c r="BJ2" s="175" t="s">
        <v>224</v>
      </c>
      <c r="BK2" s="175" t="s">
        <v>225</v>
      </c>
      <c r="BL2" s="175" t="s">
        <v>227</v>
      </c>
      <c r="BM2" s="175" t="s">
        <v>228</v>
      </c>
      <c r="BP2" s="221" t="s">
        <v>197</v>
      </c>
      <c r="BQ2" s="221"/>
      <c r="BR2" s="221" t="s">
        <v>198</v>
      </c>
      <c r="BS2" s="221"/>
      <c r="BT2" s="221" t="s">
        <v>199</v>
      </c>
      <c r="BU2" s="221"/>
      <c r="BV2" s="221" t="s">
        <v>207</v>
      </c>
      <c r="BY2" s="221" t="s">
        <v>197</v>
      </c>
      <c r="BZ2" s="221"/>
      <c r="CA2" s="221"/>
      <c r="CB2" s="221"/>
      <c r="CC2" s="221" t="s">
        <v>198</v>
      </c>
      <c r="CD2" s="221"/>
      <c r="CE2" s="221"/>
      <c r="CF2" s="221"/>
      <c r="CG2" s="221" t="s">
        <v>199</v>
      </c>
      <c r="CH2" s="221"/>
      <c r="CI2" s="221"/>
    </row>
    <row r="3" spans="1:88">
      <c r="A3" s="177" t="s">
        <v>229</v>
      </c>
      <c r="B3" s="178">
        <v>44967</v>
      </c>
      <c r="C3" s="178">
        <v>315</v>
      </c>
      <c r="D3" s="178">
        <v>28026</v>
      </c>
      <c r="E3" s="178">
        <v>260</v>
      </c>
      <c r="F3" s="178">
        <v>831</v>
      </c>
      <c r="G3" s="178">
        <v>7</v>
      </c>
      <c r="H3" s="178">
        <v>47678</v>
      </c>
      <c r="I3" s="178">
        <v>409</v>
      </c>
      <c r="J3" s="178">
        <v>36523</v>
      </c>
      <c r="K3" s="178">
        <v>439</v>
      </c>
      <c r="L3" s="178">
        <v>1174</v>
      </c>
      <c r="M3" s="178">
        <v>12</v>
      </c>
      <c r="N3" s="178">
        <v>52407</v>
      </c>
      <c r="O3" s="178">
        <v>401</v>
      </c>
      <c r="P3" s="178">
        <v>41014</v>
      </c>
      <c r="Q3" s="178">
        <v>413</v>
      </c>
      <c r="R3" s="178">
        <v>1445</v>
      </c>
      <c r="S3" s="178">
        <v>13</v>
      </c>
      <c r="T3" s="178">
        <v>34818</v>
      </c>
      <c r="U3" s="178">
        <v>291</v>
      </c>
      <c r="V3" s="178">
        <v>28456</v>
      </c>
      <c r="W3" s="178">
        <v>298</v>
      </c>
      <c r="X3" s="178">
        <v>1266</v>
      </c>
      <c r="Y3" s="178">
        <v>11</v>
      </c>
      <c r="Z3" s="178">
        <v>11612</v>
      </c>
      <c r="AA3" s="178">
        <v>102</v>
      </c>
      <c r="AB3" s="178">
        <v>6561</v>
      </c>
      <c r="AC3" s="178">
        <v>68</v>
      </c>
      <c r="AD3" s="178">
        <v>50</v>
      </c>
      <c r="AE3" s="178">
        <v>1</v>
      </c>
      <c r="AF3" s="178"/>
      <c r="AG3" s="178"/>
      <c r="AH3" s="178">
        <v>5321</v>
      </c>
      <c r="AI3" s="178">
        <v>84</v>
      </c>
      <c r="AJ3" s="178">
        <v>5358</v>
      </c>
      <c r="AK3" s="178">
        <v>86</v>
      </c>
      <c r="AL3" s="178">
        <v>184</v>
      </c>
      <c r="AM3" s="178">
        <v>1</v>
      </c>
      <c r="AN3" s="178"/>
      <c r="AO3" s="178"/>
      <c r="AP3" s="178">
        <v>1259</v>
      </c>
      <c r="AQ3" s="178">
        <v>9</v>
      </c>
      <c r="AR3" s="178">
        <v>741</v>
      </c>
      <c r="AS3" s="178">
        <v>11</v>
      </c>
      <c r="AT3" s="178"/>
      <c r="AU3" s="178"/>
      <c r="AV3" s="178"/>
      <c r="AW3" s="178"/>
      <c r="AX3" s="178">
        <v>380</v>
      </c>
      <c r="AY3" s="178">
        <v>3</v>
      </c>
      <c r="AZ3" s="178">
        <v>295</v>
      </c>
      <c r="BA3" s="178">
        <v>4</v>
      </c>
      <c r="BB3" s="178"/>
      <c r="BC3" s="178"/>
      <c r="BD3" s="178"/>
      <c r="BE3" s="178"/>
      <c r="BF3" s="178">
        <v>460</v>
      </c>
      <c r="BG3" s="178">
        <v>1</v>
      </c>
      <c r="BH3" s="178">
        <v>562</v>
      </c>
      <c r="BI3" s="178">
        <v>7</v>
      </c>
      <c r="BJ3" s="178"/>
      <c r="BK3" s="178"/>
      <c r="BL3" s="178"/>
      <c r="BM3" s="178"/>
      <c r="BP3" s="222">
        <f>AVERAGE(B3,H3,N3,T3,Z3,AP3,AX3,BF3)</f>
        <v>24197.625</v>
      </c>
      <c r="BQ3" s="222"/>
      <c r="BR3" s="222">
        <f>AVERAGE(D3,J3,P3,V3,AB3,AR3,AZ3,BH3)</f>
        <v>17772.25</v>
      </c>
      <c r="BS3" s="222"/>
      <c r="BT3" s="222">
        <f>AVERAGE(F3,L3,R3,X3,AD3,AT3,BB3,BJ3)</f>
        <v>953.2</v>
      </c>
      <c r="BU3" s="222"/>
      <c r="BV3" s="222"/>
      <c r="BW3" s="179"/>
      <c r="BX3">
        <v>4.4999999999999998E-2</v>
      </c>
      <c r="BY3" s="179">
        <f>SUM(B3,H3,N3,T3,Z3,AH3,AP3,AX3,BF3)</f>
        <v>198902</v>
      </c>
      <c r="BZ3" s="179">
        <f>SUM(C3,I3,O3,U3,AA3,AI3,AQ3,AY3,BG3)</f>
        <v>1615</v>
      </c>
      <c r="CA3" s="183">
        <f>BX3*BY3</f>
        <v>8950.59</v>
      </c>
      <c r="CB3" s="183">
        <f>CA3/BZ3</f>
        <v>5.5421609907120741</v>
      </c>
      <c r="CC3" s="179">
        <f>SUM(D3,J3,P3,V3,AB3,AJ3,AR3,AZ3,BH3)</f>
        <v>147536</v>
      </c>
      <c r="CD3" s="179">
        <f>SUM(E3,K3,Q3,W3,AC3,AK3,AS3,BA3,BI3)</f>
        <v>1586</v>
      </c>
      <c r="CE3" s="183">
        <f>BX3*CC3</f>
        <v>6639.12</v>
      </c>
      <c r="CF3" s="183">
        <f>CE3/CD3</f>
        <v>4.1860781841109711</v>
      </c>
      <c r="CG3" s="179">
        <f>SUM(F3,L3,R3,X3,AD3,AL3,AT3,BB3,BJ3)</f>
        <v>4950</v>
      </c>
      <c r="CH3" s="179">
        <f>SUM(G3,M3,S3,Y3,AE3,AM3,AU3,BC3,BK3)</f>
        <v>45</v>
      </c>
      <c r="CI3" s="183">
        <f>BX3*CG3</f>
        <v>222.75</v>
      </c>
      <c r="CJ3">
        <f>CI3/CH3</f>
        <v>4.95</v>
      </c>
    </row>
    <row r="4" spans="1:88">
      <c r="A4" s="177" t="s">
        <v>230</v>
      </c>
      <c r="B4" s="178">
        <v>30</v>
      </c>
      <c r="C4" s="178">
        <v>1</v>
      </c>
      <c r="D4" s="178">
        <v>10</v>
      </c>
      <c r="E4" s="178">
        <v>1</v>
      </c>
      <c r="F4" s="178"/>
      <c r="G4" s="178"/>
      <c r="H4" s="178">
        <v>110</v>
      </c>
      <c r="I4" s="178">
        <v>1</v>
      </c>
      <c r="J4" s="178">
        <v>10</v>
      </c>
      <c r="K4" s="178">
        <v>1</v>
      </c>
      <c r="L4" s="178"/>
      <c r="M4" s="178"/>
      <c r="N4" s="178">
        <v>193</v>
      </c>
      <c r="O4" s="178">
        <v>2</v>
      </c>
      <c r="P4" s="178">
        <v>10</v>
      </c>
      <c r="Q4" s="178">
        <v>1</v>
      </c>
      <c r="R4" s="178"/>
      <c r="S4" s="178"/>
      <c r="T4" s="178">
        <v>67</v>
      </c>
      <c r="U4" s="178">
        <v>2</v>
      </c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178"/>
      <c r="AK4" s="178"/>
      <c r="AL4" s="178"/>
      <c r="AM4" s="178"/>
      <c r="AN4" s="178"/>
      <c r="AO4" s="178"/>
      <c r="AP4" s="178"/>
      <c r="AQ4" s="178"/>
      <c r="AR4" s="178"/>
      <c r="AS4" s="178"/>
      <c r="AT4" s="178"/>
      <c r="AU4" s="178"/>
      <c r="AV4" s="178"/>
      <c r="AW4" s="178"/>
      <c r="AX4" s="178"/>
      <c r="AY4" s="178"/>
      <c r="AZ4" s="178"/>
      <c r="BA4" s="178"/>
      <c r="BB4" s="178"/>
      <c r="BC4" s="178"/>
      <c r="BD4" s="178"/>
      <c r="BE4" s="178"/>
      <c r="BF4" s="178"/>
      <c r="BG4" s="178"/>
      <c r="BH4" s="178"/>
      <c r="BI4" s="178"/>
      <c r="BJ4" s="178"/>
      <c r="BK4" s="178"/>
      <c r="BL4" s="178"/>
      <c r="BM4" s="178"/>
      <c r="BP4" s="222"/>
      <c r="BQ4" s="177"/>
      <c r="BR4" s="222"/>
      <c r="BS4" s="177"/>
      <c r="BT4" s="222"/>
      <c r="BU4" s="177"/>
      <c r="BV4" s="222"/>
      <c r="BY4" s="179"/>
      <c r="BZ4" s="179">
        <f t="shared" ref="BZ4:BZ54" si="0">SUM(C4,I4,O4,U4,AA4,AI4,AQ4,AY4,BG4)</f>
        <v>6</v>
      </c>
      <c r="CB4" s="183">
        <f t="shared" ref="CB4:CB54" si="1">CA4/BZ4</f>
        <v>0</v>
      </c>
      <c r="CC4" s="179"/>
      <c r="CD4" s="179">
        <f t="shared" ref="CD4:CD54" si="2">SUM(E4,K4,Q4,W4,AC4,AK4,AS4,BA4,BI4)</f>
        <v>3</v>
      </c>
      <c r="CE4" s="183">
        <f>BX4*CC4</f>
        <v>0</v>
      </c>
      <c r="CF4" s="183">
        <f t="shared" ref="CF4:CF54" si="3">CE4/CD4</f>
        <v>0</v>
      </c>
      <c r="CG4" s="179"/>
      <c r="CH4" s="179">
        <f t="shared" ref="CH4:CH54" si="4">SUM(G4,M4,S4,Y4,AE4,AM4,AU4,BC4,BK4)</f>
        <v>0</v>
      </c>
      <c r="CI4" s="183">
        <f t="shared" ref="CI4:CI54" si="5">BX4*CG4</f>
        <v>0</v>
      </c>
    </row>
    <row r="5" spans="1:88">
      <c r="A5" s="177" t="s">
        <v>231</v>
      </c>
      <c r="B5" s="178">
        <v>48556</v>
      </c>
      <c r="C5" s="178">
        <v>431</v>
      </c>
      <c r="D5" s="178">
        <v>34429</v>
      </c>
      <c r="E5" s="178">
        <v>367</v>
      </c>
      <c r="F5" s="178">
        <v>945</v>
      </c>
      <c r="G5" s="178">
        <v>11</v>
      </c>
      <c r="H5" s="178">
        <v>80784</v>
      </c>
      <c r="I5" s="178">
        <v>692</v>
      </c>
      <c r="J5" s="178">
        <v>47040</v>
      </c>
      <c r="K5" s="178">
        <v>524</v>
      </c>
      <c r="L5" s="178">
        <v>2400</v>
      </c>
      <c r="M5" s="178">
        <v>28</v>
      </c>
      <c r="N5" s="178">
        <v>63812</v>
      </c>
      <c r="O5" s="178">
        <v>564</v>
      </c>
      <c r="P5" s="178">
        <v>36653</v>
      </c>
      <c r="Q5" s="178">
        <v>451</v>
      </c>
      <c r="R5" s="178">
        <v>2629</v>
      </c>
      <c r="S5" s="178">
        <v>30</v>
      </c>
      <c r="T5" s="178">
        <v>57077</v>
      </c>
      <c r="U5" s="178">
        <v>495</v>
      </c>
      <c r="V5" s="178">
        <v>44361</v>
      </c>
      <c r="W5" s="178">
        <v>507</v>
      </c>
      <c r="X5" s="178">
        <v>2277</v>
      </c>
      <c r="Y5" s="178">
        <v>26</v>
      </c>
      <c r="Z5" s="178">
        <v>80115</v>
      </c>
      <c r="AA5" s="178">
        <v>690</v>
      </c>
      <c r="AB5" s="178">
        <v>53476</v>
      </c>
      <c r="AC5" s="178">
        <v>597</v>
      </c>
      <c r="AD5" s="178">
        <v>2523</v>
      </c>
      <c r="AE5" s="178">
        <v>30</v>
      </c>
      <c r="AF5" s="178"/>
      <c r="AG5" s="178"/>
      <c r="AH5" s="178">
        <v>68388</v>
      </c>
      <c r="AI5" s="178">
        <v>616</v>
      </c>
      <c r="AJ5" s="178">
        <v>56861</v>
      </c>
      <c r="AK5" s="178">
        <v>641</v>
      </c>
      <c r="AL5" s="178">
        <v>3174</v>
      </c>
      <c r="AM5" s="178">
        <v>33</v>
      </c>
      <c r="AN5" s="178"/>
      <c r="AO5" s="178"/>
      <c r="AP5" s="178">
        <v>68528</v>
      </c>
      <c r="AQ5" s="178">
        <v>604</v>
      </c>
      <c r="AR5" s="178">
        <v>59181</v>
      </c>
      <c r="AS5" s="178">
        <v>667</v>
      </c>
      <c r="AT5" s="178">
        <v>3262</v>
      </c>
      <c r="AU5" s="178">
        <v>39</v>
      </c>
      <c r="AV5" s="178"/>
      <c r="AW5" s="178"/>
      <c r="AX5" s="178">
        <v>72101</v>
      </c>
      <c r="AY5" s="178">
        <v>625</v>
      </c>
      <c r="AZ5" s="178">
        <v>55742</v>
      </c>
      <c r="BA5" s="178">
        <v>638</v>
      </c>
      <c r="BB5" s="178">
        <v>3602</v>
      </c>
      <c r="BC5" s="178">
        <v>41</v>
      </c>
      <c r="BD5" s="178"/>
      <c r="BE5" s="178"/>
      <c r="BF5" s="178">
        <v>86050</v>
      </c>
      <c r="BG5" s="178">
        <v>756</v>
      </c>
      <c r="BH5" s="178">
        <v>64736</v>
      </c>
      <c r="BI5" s="178">
        <v>731</v>
      </c>
      <c r="BJ5" s="178">
        <v>3881</v>
      </c>
      <c r="BK5" s="178">
        <v>45</v>
      </c>
      <c r="BL5" s="178"/>
      <c r="BM5" s="178"/>
      <c r="BP5" s="222">
        <f t="shared" ref="BP5:BP54" si="6">AVERAGE(B5,H5,N5,T5,Z5,AP5,AX5,BF5)</f>
        <v>69627.875</v>
      </c>
      <c r="BQ5" s="177"/>
      <c r="BR5" s="222">
        <f t="shared" ref="BR5:BR53" si="7">AVERAGE(D5,J5,P5,V5,AB5,AR5,AZ5,BH5)</f>
        <v>49452.25</v>
      </c>
      <c r="BS5" s="177"/>
      <c r="BT5" s="222">
        <f t="shared" ref="BT5:BT53" si="8">AVERAGE(F5,L5,R5,X5,AD5,AT5,BB5,BJ5)</f>
        <v>2689.875</v>
      </c>
      <c r="BU5" s="177"/>
      <c r="BV5" s="222"/>
      <c r="BX5">
        <v>0.109</v>
      </c>
      <c r="BY5" s="179">
        <f t="shared" ref="BY5:BY56" si="9">SUM(B5,H5,N5,T5,Z5,AH5,AP5,AX5,BF5)</f>
        <v>625411</v>
      </c>
      <c r="BZ5" s="179">
        <f t="shared" si="0"/>
        <v>5473</v>
      </c>
      <c r="CA5" s="183">
        <f>BX5*BY5</f>
        <v>68169.798999999999</v>
      </c>
      <c r="CB5" s="183">
        <f t="shared" si="1"/>
        <v>12.455654851087155</v>
      </c>
      <c r="CC5" s="179">
        <f>SUM(D5,J5,P5,V5,AB5,AJ5,AR5,AZ5,BH5)</f>
        <v>452479</v>
      </c>
      <c r="CD5" s="179">
        <f t="shared" si="2"/>
        <v>5123</v>
      </c>
      <c r="CE5" s="183">
        <f>BX5*CC5</f>
        <v>49320.211000000003</v>
      </c>
      <c r="CF5" s="183">
        <f t="shared" si="3"/>
        <v>9.6272127659574469</v>
      </c>
      <c r="CG5" s="179">
        <f>SUM(F5,L5,R5,X5,AD5,AL5,AT5,BB5,BJ5)</f>
        <v>24693</v>
      </c>
      <c r="CH5" s="179">
        <f t="shared" si="4"/>
        <v>283</v>
      </c>
      <c r="CI5" s="183">
        <f t="shared" si="5"/>
        <v>2691.5369999999998</v>
      </c>
      <c r="CJ5">
        <f t="shared" ref="CJ4:CJ54" si="10">CI5/CH5</f>
        <v>9.5107314487632504</v>
      </c>
    </row>
    <row r="6" spans="1:88">
      <c r="A6" s="177" t="s">
        <v>232</v>
      </c>
      <c r="B6" s="178">
        <v>121182</v>
      </c>
      <c r="C6" s="178">
        <v>1017</v>
      </c>
      <c r="D6" s="178">
        <v>50570</v>
      </c>
      <c r="E6" s="178">
        <v>566</v>
      </c>
      <c r="F6" s="178">
        <v>2709</v>
      </c>
      <c r="G6" s="178">
        <v>31</v>
      </c>
      <c r="H6" s="178">
        <v>158220</v>
      </c>
      <c r="I6" s="178">
        <v>1337</v>
      </c>
      <c r="J6" s="178">
        <v>79211</v>
      </c>
      <c r="K6" s="178">
        <v>927</v>
      </c>
      <c r="L6" s="178">
        <v>3584</v>
      </c>
      <c r="M6" s="178">
        <v>43</v>
      </c>
      <c r="N6" s="178">
        <v>151065</v>
      </c>
      <c r="O6" s="178">
        <v>1239</v>
      </c>
      <c r="P6" s="178">
        <v>71858</v>
      </c>
      <c r="Q6" s="178">
        <v>879</v>
      </c>
      <c r="R6" s="178">
        <v>1581</v>
      </c>
      <c r="S6" s="178">
        <v>22</v>
      </c>
      <c r="T6" s="178">
        <v>149661</v>
      </c>
      <c r="U6" s="178">
        <v>1251</v>
      </c>
      <c r="V6" s="178">
        <v>72235</v>
      </c>
      <c r="W6" s="178">
        <v>889</v>
      </c>
      <c r="X6" s="178">
        <v>3611</v>
      </c>
      <c r="Y6" s="178">
        <v>40</v>
      </c>
      <c r="Z6" s="178">
        <v>150719</v>
      </c>
      <c r="AA6" s="178">
        <v>1274</v>
      </c>
      <c r="AB6" s="178">
        <v>77600</v>
      </c>
      <c r="AC6" s="178">
        <v>916</v>
      </c>
      <c r="AD6" s="178">
        <v>2994</v>
      </c>
      <c r="AE6" s="178">
        <v>36</v>
      </c>
      <c r="AF6" s="178"/>
      <c r="AG6" s="178"/>
      <c r="AH6" s="178">
        <v>159402</v>
      </c>
      <c r="AI6" s="178">
        <v>1316</v>
      </c>
      <c r="AJ6" s="178">
        <v>69245</v>
      </c>
      <c r="AK6" s="178">
        <v>897</v>
      </c>
      <c r="AL6" s="178">
        <v>2876</v>
      </c>
      <c r="AM6" s="178">
        <v>42</v>
      </c>
      <c r="AN6" s="178"/>
      <c r="AO6" s="178"/>
      <c r="AP6" s="178">
        <v>160305</v>
      </c>
      <c r="AQ6" s="178">
        <v>1309</v>
      </c>
      <c r="AR6" s="178">
        <v>75057</v>
      </c>
      <c r="AS6" s="178">
        <v>965</v>
      </c>
      <c r="AT6" s="178">
        <v>2613</v>
      </c>
      <c r="AU6" s="178">
        <v>32</v>
      </c>
      <c r="AV6" s="178"/>
      <c r="AW6" s="178"/>
      <c r="AX6" s="178">
        <v>138724</v>
      </c>
      <c r="AY6" s="178">
        <v>1187</v>
      </c>
      <c r="AZ6" s="178">
        <v>69419</v>
      </c>
      <c r="BA6" s="178">
        <v>858</v>
      </c>
      <c r="BB6" s="178">
        <v>2434</v>
      </c>
      <c r="BC6" s="178">
        <v>28</v>
      </c>
      <c r="BD6" s="178"/>
      <c r="BE6" s="178"/>
      <c r="BF6" s="178">
        <v>175689</v>
      </c>
      <c r="BG6" s="178">
        <v>1467</v>
      </c>
      <c r="BH6" s="178">
        <v>77220</v>
      </c>
      <c r="BI6" s="178">
        <v>944</v>
      </c>
      <c r="BJ6" s="178">
        <v>2636</v>
      </c>
      <c r="BK6" s="178">
        <v>30</v>
      </c>
      <c r="BL6" s="178"/>
      <c r="BM6" s="178"/>
      <c r="BP6" s="222">
        <f t="shared" si="6"/>
        <v>150695.625</v>
      </c>
      <c r="BQ6" s="177"/>
      <c r="BR6" s="222">
        <f t="shared" si="7"/>
        <v>71646.25</v>
      </c>
      <c r="BS6" s="177"/>
      <c r="BT6" s="222">
        <f t="shared" si="8"/>
        <v>2770.25</v>
      </c>
      <c r="BU6" s="177"/>
      <c r="BV6" s="222"/>
      <c r="BX6">
        <v>4.1000000000000002E-2</v>
      </c>
      <c r="BY6" s="179">
        <f t="shared" si="9"/>
        <v>1364967</v>
      </c>
      <c r="BZ6" s="179">
        <f t="shared" si="0"/>
        <v>11397</v>
      </c>
      <c r="CA6" s="183">
        <f t="shared" ref="CA6:CA54" si="11">BX6*BY6</f>
        <v>55963.647000000004</v>
      </c>
      <c r="CB6" s="183">
        <f t="shared" si="1"/>
        <v>4.9103840484337988</v>
      </c>
      <c r="CC6" s="179">
        <f>SUM(D6,J6,P6,V6,AB6,AJ6,AR6,AZ6,BH6)</f>
        <v>642415</v>
      </c>
      <c r="CD6" s="179">
        <f t="shared" si="2"/>
        <v>7841</v>
      </c>
      <c r="CE6" s="183">
        <f>BX6*CC6</f>
        <v>26339.014999999999</v>
      </c>
      <c r="CF6" s="183">
        <f t="shared" si="3"/>
        <v>3.3591397780895291</v>
      </c>
      <c r="CG6" s="179">
        <f>SUM(F6,L6,R6,X6,AD6,AL6,AT6,BB6,BJ6)</f>
        <v>25038</v>
      </c>
      <c r="CH6" s="179">
        <f t="shared" si="4"/>
        <v>304</v>
      </c>
      <c r="CI6" s="183">
        <f t="shared" si="5"/>
        <v>1026.558</v>
      </c>
      <c r="CJ6">
        <f t="shared" si="10"/>
        <v>3.3768355263157894</v>
      </c>
    </row>
    <row r="7" spans="1:88">
      <c r="A7" s="177" t="s">
        <v>233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>
        <v>6988</v>
      </c>
      <c r="AA7" s="178">
        <v>68</v>
      </c>
      <c r="AB7" s="178">
        <v>2800</v>
      </c>
      <c r="AC7" s="178">
        <v>57</v>
      </c>
      <c r="AD7" s="178">
        <v>175</v>
      </c>
      <c r="AE7" s="178">
        <v>5</v>
      </c>
      <c r="AF7" s="178"/>
      <c r="AG7" s="178"/>
      <c r="AH7" s="178">
        <v>14140</v>
      </c>
      <c r="AI7" s="178">
        <v>128</v>
      </c>
      <c r="AJ7" s="178">
        <v>6992</v>
      </c>
      <c r="AK7" s="178">
        <v>139</v>
      </c>
      <c r="AL7" s="178">
        <v>270</v>
      </c>
      <c r="AM7" s="178">
        <v>7</v>
      </c>
      <c r="AN7" s="178"/>
      <c r="AO7" s="178"/>
      <c r="AP7" s="178">
        <v>15204</v>
      </c>
      <c r="AQ7" s="178">
        <v>148</v>
      </c>
      <c r="AR7" s="178">
        <v>7918</v>
      </c>
      <c r="AS7" s="178">
        <v>179</v>
      </c>
      <c r="AT7" s="178">
        <v>455</v>
      </c>
      <c r="AU7" s="178">
        <v>10</v>
      </c>
      <c r="AV7" s="178"/>
      <c r="AW7" s="178"/>
      <c r="AX7" s="178">
        <v>25001</v>
      </c>
      <c r="AY7" s="178">
        <v>243</v>
      </c>
      <c r="AZ7" s="178">
        <v>10300</v>
      </c>
      <c r="BA7" s="178">
        <v>224</v>
      </c>
      <c r="BB7" s="178">
        <v>563</v>
      </c>
      <c r="BC7" s="178">
        <v>11</v>
      </c>
      <c r="BD7" s="178"/>
      <c r="BE7" s="178"/>
      <c r="BF7" s="178">
        <v>36992</v>
      </c>
      <c r="BG7" s="178">
        <v>363</v>
      </c>
      <c r="BH7" s="178">
        <v>14289</v>
      </c>
      <c r="BI7" s="178">
        <v>312</v>
      </c>
      <c r="BJ7" s="178">
        <v>853</v>
      </c>
      <c r="BK7" s="178">
        <v>16</v>
      </c>
      <c r="BL7" s="178"/>
      <c r="BM7" s="178"/>
      <c r="BP7" s="222">
        <f t="shared" si="6"/>
        <v>21046.25</v>
      </c>
      <c r="BQ7" s="177"/>
      <c r="BR7" s="222">
        <f t="shared" si="7"/>
        <v>8826.75</v>
      </c>
      <c r="BS7" s="177"/>
      <c r="BT7" s="222"/>
      <c r="BU7" s="177"/>
      <c r="BV7" s="222"/>
      <c r="BX7">
        <v>0.32</v>
      </c>
      <c r="BY7" s="179">
        <f t="shared" si="9"/>
        <v>98325</v>
      </c>
      <c r="BZ7" s="179">
        <f t="shared" si="0"/>
        <v>950</v>
      </c>
      <c r="CA7" s="183">
        <f t="shared" si="11"/>
        <v>31464</v>
      </c>
      <c r="CB7" s="183">
        <f t="shared" si="1"/>
        <v>33.119999999999997</v>
      </c>
      <c r="CC7" s="179">
        <f>SUM(D7,J7,P7,V7,AB7,AJ7,AR7,AZ7,BH7)</f>
        <v>42299</v>
      </c>
      <c r="CD7" s="179">
        <f t="shared" si="2"/>
        <v>911</v>
      </c>
      <c r="CE7" s="183">
        <f>BX7*CC7</f>
        <v>13535.68</v>
      </c>
      <c r="CF7" s="183">
        <f t="shared" si="3"/>
        <v>14.858046103183316</v>
      </c>
      <c r="CG7" s="179">
        <f>SUM(F7,L7,R7,X7,AD7,AL7,AT7,BB7,BJ7)</f>
        <v>2316</v>
      </c>
      <c r="CH7" s="179">
        <f t="shared" si="4"/>
        <v>49</v>
      </c>
      <c r="CI7" s="183">
        <f t="shared" si="5"/>
        <v>741.12</v>
      </c>
      <c r="CJ7">
        <f t="shared" si="10"/>
        <v>15.124897959183674</v>
      </c>
    </row>
    <row r="8" spans="1:88">
      <c r="A8" s="177" t="s">
        <v>234</v>
      </c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>
        <v>92</v>
      </c>
      <c r="U8" s="178">
        <v>1</v>
      </c>
      <c r="V8" s="178"/>
      <c r="W8" s="178"/>
      <c r="X8" s="178"/>
      <c r="Y8" s="178"/>
      <c r="Z8" s="178">
        <v>14246</v>
      </c>
      <c r="AA8" s="178">
        <v>158</v>
      </c>
      <c r="AB8" s="178">
        <v>3857</v>
      </c>
      <c r="AC8" s="178">
        <v>92</v>
      </c>
      <c r="AD8" s="178">
        <v>518</v>
      </c>
      <c r="AE8" s="178">
        <v>9</v>
      </c>
      <c r="AF8" s="178"/>
      <c r="AG8" s="178"/>
      <c r="AH8" s="178">
        <v>25784</v>
      </c>
      <c r="AI8" s="178">
        <v>286</v>
      </c>
      <c r="AJ8" s="178">
        <v>11526</v>
      </c>
      <c r="AK8" s="178">
        <v>263</v>
      </c>
      <c r="AL8" s="178">
        <v>484</v>
      </c>
      <c r="AM8" s="178">
        <v>10</v>
      </c>
      <c r="AN8" s="178"/>
      <c r="AO8" s="178"/>
      <c r="AP8" s="178">
        <v>33045</v>
      </c>
      <c r="AQ8" s="178">
        <v>367</v>
      </c>
      <c r="AR8" s="178">
        <v>16209</v>
      </c>
      <c r="AS8" s="178">
        <v>413</v>
      </c>
      <c r="AT8" s="178">
        <v>1055</v>
      </c>
      <c r="AU8" s="178">
        <v>23</v>
      </c>
      <c r="AV8" s="178"/>
      <c r="AW8" s="178"/>
      <c r="AX8" s="178">
        <v>38611</v>
      </c>
      <c r="AY8" s="178">
        <v>429</v>
      </c>
      <c r="AZ8" s="178">
        <v>19782</v>
      </c>
      <c r="BA8" s="178">
        <v>474</v>
      </c>
      <c r="BB8" s="178">
        <v>750</v>
      </c>
      <c r="BC8" s="178">
        <v>18</v>
      </c>
      <c r="BD8" s="178"/>
      <c r="BE8" s="178"/>
      <c r="BF8" s="178">
        <v>63894</v>
      </c>
      <c r="BG8" s="178">
        <v>712</v>
      </c>
      <c r="BH8" s="178">
        <v>27438</v>
      </c>
      <c r="BI8" s="178">
        <v>648</v>
      </c>
      <c r="BJ8" s="178">
        <v>1546</v>
      </c>
      <c r="BK8" s="178">
        <v>31</v>
      </c>
      <c r="BL8" s="178"/>
      <c r="BM8" s="178"/>
      <c r="BP8" s="222">
        <f t="shared" si="6"/>
        <v>29977.599999999999</v>
      </c>
      <c r="BQ8" s="177"/>
      <c r="BR8" s="222">
        <f t="shared" si="7"/>
        <v>16821.5</v>
      </c>
      <c r="BS8" s="177"/>
      <c r="BT8" s="222"/>
      <c r="BU8" s="177"/>
      <c r="BV8" s="222"/>
      <c r="BX8">
        <v>0.38</v>
      </c>
      <c r="BY8" s="179">
        <f t="shared" si="9"/>
        <v>175672</v>
      </c>
      <c r="BZ8" s="179">
        <f t="shared" si="0"/>
        <v>1953</v>
      </c>
      <c r="CA8" s="183">
        <f t="shared" si="11"/>
        <v>66755.360000000001</v>
      </c>
      <c r="CB8" s="183">
        <f t="shared" si="1"/>
        <v>34.180931899641578</v>
      </c>
      <c r="CC8" s="179">
        <f>SUM(D8,J8,P8,V8,AB8,AJ8,AR8,AZ8,BH8)</f>
        <v>78812</v>
      </c>
      <c r="CD8" s="179">
        <f t="shared" si="2"/>
        <v>1890</v>
      </c>
      <c r="CE8" s="183">
        <f>BX8*CC8</f>
        <v>29948.560000000001</v>
      </c>
      <c r="CF8" s="183">
        <f t="shared" si="3"/>
        <v>15.845798941798943</v>
      </c>
      <c r="CG8" s="179">
        <f>SUM(F8,L8,R8,X8,AD8,AL8,AT8,BB8,BJ8)</f>
        <v>4353</v>
      </c>
      <c r="CH8" s="179">
        <f t="shared" si="4"/>
        <v>91</v>
      </c>
      <c r="CI8" s="183">
        <f t="shared" si="5"/>
        <v>1654.14</v>
      </c>
      <c r="CJ8">
        <f t="shared" si="10"/>
        <v>18.177362637362638</v>
      </c>
    </row>
    <row r="9" spans="1:88">
      <c r="A9" s="177" t="s">
        <v>235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>
        <v>51277</v>
      </c>
      <c r="U9" s="178">
        <v>487</v>
      </c>
      <c r="V9" s="178">
        <v>29292</v>
      </c>
      <c r="W9" s="178">
        <v>374</v>
      </c>
      <c r="X9" s="178">
        <v>2057</v>
      </c>
      <c r="Y9" s="178">
        <v>24</v>
      </c>
      <c r="Z9" s="178">
        <v>96455</v>
      </c>
      <c r="AA9" s="178">
        <v>937</v>
      </c>
      <c r="AB9" s="178">
        <v>62264</v>
      </c>
      <c r="AC9" s="178">
        <v>796</v>
      </c>
      <c r="AD9" s="178">
        <v>2734</v>
      </c>
      <c r="AE9" s="178">
        <v>39</v>
      </c>
      <c r="AF9" s="178"/>
      <c r="AG9" s="178"/>
      <c r="AH9" s="178">
        <v>83981</v>
      </c>
      <c r="AI9" s="178">
        <v>824</v>
      </c>
      <c r="AJ9" s="178">
        <v>54315</v>
      </c>
      <c r="AK9" s="178">
        <v>758</v>
      </c>
      <c r="AL9" s="178">
        <v>2725</v>
      </c>
      <c r="AM9" s="178">
        <v>44</v>
      </c>
      <c r="AN9" s="178"/>
      <c r="AO9" s="178"/>
      <c r="AP9" s="178">
        <v>77499</v>
      </c>
      <c r="AQ9" s="178">
        <v>739</v>
      </c>
      <c r="AR9" s="178">
        <v>57120</v>
      </c>
      <c r="AS9" s="178">
        <v>791</v>
      </c>
      <c r="AT9" s="178">
        <v>2987</v>
      </c>
      <c r="AU9" s="178">
        <v>45</v>
      </c>
      <c r="AV9" s="178"/>
      <c r="AW9" s="178"/>
      <c r="AX9" s="178">
        <v>84302</v>
      </c>
      <c r="AY9" s="178">
        <v>818</v>
      </c>
      <c r="AZ9" s="178">
        <v>58039</v>
      </c>
      <c r="BA9" s="178">
        <v>797</v>
      </c>
      <c r="BB9" s="178">
        <v>3000</v>
      </c>
      <c r="BC9" s="178">
        <v>43</v>
      </c>
      <c r="BD9" s="178"/>
      <c r="BE9" s="178"/>
      <c r="BF9" s="178">
        <v>103452</v>
      </c>
      <c r="BG9" s="178">
        <v>1007</v>
      </c>
      <c r="BH9" s="178">
        <v>65017</v>
      </c>
      <c r="BI9" s="178">
        <v>893</v>
      </c>
      <c r="BJ9" s="178">
        <v>2914</v>
      </c>
      <c r="BK9" s="178">
        <v>47</v>
      </c>
      <c r="BL9" s="178"/>
      <c r="BM9" s="178"/>
      <c r="BP9" s="222">
        <f t="shared" si="6"/>
        <v>82597</v>
      </c>
      <c r="BQ9" s="177"/>
      <c r="BR9" s="222">
        <f t="shared" si="7"/>
        <v>54346.400000000001</v>
      </c>
      <c r="BS9" s="177"/>
      <c r="BT9" s="222">
        <f t="shared" si="8"/>
        <v>2738.4</v>
      </c>
      <c r="BU9" s="177"/>
      <c r="BV9" s="222"/>
      <c r="BX9">
        <v>0.1119</v>
      </c>
      <c r="BY9" s="179">
        <f t="shared" si="9"/>
        <v>496966</v>
      </c>
      <c r="BZ9" s="179">
        <f t="shared" si="0"/>
        <v>4812</v>
      </c>
      <c r="CA9" s="183">
        <f t="shared" si="11"/>
        <v>55610.4954</v>
      </c>
      <c r="CB9" s="183">
        <f t="shared" si="1"/>
        <v>11.556628304239402</v>
      </c>
      <c r="CC9" s="179">
        <f>SUM(D9,J9,P9,V9,AB9,AJ9,AR9,AZ9,BH9)</f>
        <v>326047</v>
      </c>
      <c r="CD9" s="179">
        <f t="shared" si="2"/>
        <v>4409</v>
      </c>
      <c r="CE9" s="183">
        <f>BX9*CC9</f>
        <v>36484.659299999999</v>
      </c>
      <c r="CF9" s="183">
        <f t="shared" si="3"/>
        <v>8.2750418008618727</v>
      </c>
      <c r="CG9" s="179">
        <f>SUM(F9,L9,R9,X9,AD9,AL9,AT9,BB9,BJ9)</f>
        <v>16417</v>
      </c>
      <c r="CH9" s="179">
        <f t="shared" si="4"/>
        <v>242</v>
      </c>
      <c r="CI9" s="183">
        <f t="shared" si="5"/>
        <v>1837.0623000000001</v>
      </c>
      <c r="CJ9">
        <f t="shared" si="10"/>
        <v>7.59116652892562</v>
      </c>
    </row>
    <row r="10" spans="1:88">
      <c r="A10" s="177" t="s">
        <v>236</v>
      </c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>
        <v>135100</v>
      </c>
      <c r="U10" s="178">
        <v>862</v>
      </c>
      <c r="V10" s="178">
        <v>60665</v>
      </c>
      <c r="W10" s="178">
        <v>620</v>
      </c>
      <c r="X10" s="178">
        <v>3548</v>
      </c>
      <c r="Y10" s="178">
        <v>34</v>
      </c>
      <c r="Z10" s="178">
        <v>90707</v>
      </c>
      <c r="AA10" s="178">
        <v>587</v>
      </c>
      <c r="AB10" s="178">
        <v>45198</v>
      </c>
      <c r="AC10" s="178">
        <v>510</v>
      </c>
      <c r="AD10" s="178">
        <v>2584</v>
      </c>
      <c r="AE10" s="178">
        <v>28</v>
      </c>
      <c r="AF10" s="178"/>
      <c r="AG10" s="178"/>
      <c r="AH10" s="178">
        <v>25273</v>
      </c>
      <c r="AI10" s="178">
        <v>195</v>
      </c>
      <c r="AJ10" s="178">
        <v>17816</v>
      </c>
      <c r="AK10" s="178">
        <v>267</v>
      </c>
      <c r="AL10" s="178">
        <v>868</v>
      </c>
      <c r="AM10" s="178">
        <v>13</v>
      </c>
      <c r="AN10" s="178"/>
      <c r="AO10" s="178"/>
      <c r="AP10" s="178">
        <v>33357</v>
      </c>
      <c r="AQ10" s="178">
        <v>260</v>
      </c>
      <c r="AR10" s="178">
        <v>20134</v>
      </c>
      <c r="AS10" s="178">
        <v>295</v>
      </c>
      <c r="AT10" s="178">
        <v>456</v>
      </c>
      <c r="AU10" s="178">
        <v>7</v>
      </c>
      <c r="AV10" s="178"/>
      <c r="AW10" s="178"/>
      <c r="AX10" s="178">
        <v>17536</v>
      </c>
      <c r="AY10" s="178">
        <v>164</v>
      </c>
      <c r="AZ10" s="178">
        <v>13795</v>
      </c>
      <c r="BA10" s="178">
        <v>226</v>
      </c>
      <c r="BB10" s="178">
        <v>539</v>
      </c>
      <c r="BC10" s="178">
        <v>10</v>
      </c>
      <c r="BD10" s="178"/>
      <c r="BE10" s="178"/>
      <c r="BF10" s="178">
        <v>30769</v>
      </c>
      <c r="BG10" s="178">
        <v>265</v>
      </c>
      <c r="BH10" s="178">
        <v>23405</v>
      </c>
      <c r="BI10" s="178">
        <v>334</v>
      </c>
      <c r="BJ10" s="178">
        <v>1294</v>
      </c>
      <c r="BK10" s="178">
        <v>17</v>
      </c>
      <c r="BL10" s="178"/>
      <c r="BM10" s="178"/>
      <c r="BP10" s="222">
        <f t="shared" si="6"/>
        <v>61493.8</v>
      </c>
      <c r="BQ10" s="177"/>
      <c r="BR10" s="222">
        <f t="shared" si="7"/>
        <v>32639.4</v>
      </c>
      <c r="BS10" s="177"/>
      <c r="BT10" s="222">
        <f t="shared" si="8"/>
        <v>1684.2</v>
      </c>
      <c r="BU10" s="177"/>
      <c r="BV10" s="222"/>
      <c r="BX10">
        <v>0.11</v>
      </c>
      <c r="BY10" s="179">
        <f t="shared" si="9"/>
        <v>332742</v>
      </c>
      <c r="BZ10" s="179">
        <f t="shared" si="0"/>
        <v>2333</v>
      </c>
      <c r="CA10" s="183">
        <f t="shared" si="11"/>
        <v>36601.620000000003</v>
      </c>
      <c r="CB10" s="183">
        <f t="shared" si="1"/>
        <v>15.688649807115302</v>
      </c>
      <c r="CC10" s="179">
        <f>SUM(D10,J10,P10,V10,AB10,AJ10,AR10,AZ10,BH10)</f>
        <v>181013</v>
      </c>
      <c r="CD10" s="179">
        <f t="shared" si="2"/>
        <v>2252</v>
      </c>
      <c r="CE10" s="183">
        <f>BX10*CC10</f>
        <v>19911.43</v>
      </c>
      <c r="CF10" s="183">
        <f t="shared" si="3"/>
        <v>8.8416651865008884</v>
      </c>
      <c r="CG10" s="179">
        <f>SUM(F10,L10,R10,X10,AD10,AL10,AT10,BB10,BJ10)</f>
        <v>9289</v>
      </c>
      <c r="CH10" s="179">
        <f t="shared" si="4"/>
        <v>109</v>
      </c>
      <c r="CI10" s="183">
        <f t="shared" si="5"/>
        <v>1021.79</v>
      </c>
      <c r="CJ10">
        <f t="shared" si="10"/>
        <v>9.3742201834862389</v>
      </c>
    </row>
    <row r="11" spans="1:88">
      <c r="A11" s="177" t="s">
        <v>237</v>
      </c>
      <c r="B11" s="178">
        <v>79931</v>
      </c>
      <c r="C11" s="178">
        <v>877</v>
      </c>
      <c r="D11" s="178">
        <v>48070</v>
      </c>
      <c r="E11" s="178">
        <v>728</v>
      </c>
      <c r="F11" s="178">
        <v>3200</v>
      </c>
      <c r="G11" s="178">
        <v>47</v>
      </c>
      <c r="H11" s="178">
        <v>94982</v>
      </c>
      <c r="I11" s="178">
        <v>1064</v>
      </c>
      <c r="J11" s="178">
        <v>65627</v>
      </c>
      <c r="K11" s="178">
        <v>1080</v>
      </c>
      <c r="L11" s="178">
        <v>3842</v>
      </c>
      <c r="M11" s="178">
        <v>60</v>
      </c>
      <c r="N11" s="178">
        <v>54830</v>
      </c>
      <c r="O11" s="178">
        <v>618</v>
      </c>
      <c r="P11" s="178">
        <v>33039</v>
      </c>
      <c r="Q11" s="178">
        <v>593</v>
      </c>
      <c r="R11" s="178">
        <v>1508</v>
      </c>
      <c r="S11" s="178">
        <v>24</v>
      </c>
      <c r="T11" s="178">
        <v>6575</v>
      </c>
      <c r="U11" s="178">
        <v>80</v>
      </c>
      <c r="V11" s="178">
        <v>2586</v>
      </c>
      <c r="W11" s="178">
        <v>55</v>
      </c>
      <c r="X11" s="178">
        <v>306</v>
      </c>
      <c r="Y11" s="178">
        <v>8</v>
      </c>
      <c r="Z11" s="178">
        <v>1685</v>
      </c>
      <c r="AA11" s="178">
        <v>24</v>
      </c>
      <c r="AB11" s="178">
        <v>1121</v>
      </c>
      <c r="AC11" s="178">
        <v>20</v>
      </c>
      <c r="AD11" s="178">
        <v>122</v>
      </c>
      <c r="AE11" s="178">
        <v>2</v>
      </c>
      <c r="AF11" s="178"/>
      <c r="AG11" s="178"/>
      <c r="AH11" s="178">
        <v>3254</v>
      </c>
      <c r="AI11" s="178">
        <v>71</v>
      </c>
      <c r="AJ11" s="178">
        <v>3244</v>
      </c>
      <c r="AK11" s="178">
        <v>87</v>
      </c>
      <c r="AL11" s="178">
        <v>233</v>
      </c>
      <c r="AM11" s="178">
        <v>6</v>
      </c>
      <c r="AN11" s="178"/>
      <c r="AO11" s="178"/>
      <c r="AP11" s="178">
        <v>105</v>
      </c>
      <c r="AQ11" s="178">
        <v>4</v>
      </c>
      <c r="AR11" s="178">
        <v>142</v>
      </c>
      <c r="AS11" s="178">
        <v>5</v>
      </c>
      <c r="AT11" s="178"/>
      <c r="AU11" s="178"/>
      <c r="AV11" s="178"/>
      <c r="AW11" s="178"/>
      <c r="AX11" s="178"/>
      <c r="AY11" s="178"/>
      <c r="AZ11" s="178"/>
      <c r="BA11" s="178"/>
      <c r="BB11" s="178"/>
      <c r="BC11" s="178"/>
      <c r="BD11" s="178"/>
      <c r="BE11" s="178"/>
      <c r="BF11" s="178"/>
      <c r="BG11" s="178"/>
      <c r="BH11" s="178"/>
      <c r="BI11" s="178"/>
      <c r="BJ11" s="178"/>
      <c r="BK11" s="178"/>
      <c r="BL11" s="178"/>
      <c r="BM11" s="178"/>
      <c r="BP11" s="222">
        <f t="shared" si="6"/>
        <v>39684.666666666664</v>
      </c>
      <c r="BQ11" s="177"/>
      <c r="BR11" s="222">
        <f t="shared" si="7"/>
        <v>25097.5</v>
      </c>
      <c r="BS11" s="177"/>
      <c r="BT11" s="222">
        <f t="shared" si="8"/>
        <v>1795.6</v>
      </c>
      <c r="BU11" s="177"/>
      <c r="BV11" s="222"/>
      <c r="BX11">
        <v>0.09</v>
      </c>
      <c r="BY11" s="179">
        <f t="shared" si="9"/>
        <v>241362</v>
      </c>
      <c r="BZ11" s="179">
        <f t="shared" si="0"/>
        <v>2738</v>
      </c>
      <c r="CA11" s="183">
        <f t="shared" si="11"/>
        <v>21722.579999999998</v>
      </c>
      <c r="CB11" s="183">
        <f t="shared" si="1"/>
        <v>7.9337399561723876</v>
      </c>
      <c r="CC11" s="179">
        <f>SUM(D11,J11,P11,V11,AB11,AJ11,AR11,AZ11,BH11)</f>
        <v>153829</v>
      </c>
      <c r="CD11" s="179">
        <f t="shared" si="2"/>
        <v>2568</v>
      </c>
      <c r="CE11" s="183">
        <f>BX11*CC11</f>
        <v>13844.609999999999</v>
      </c>
      <c r="CF11" s="183">
        <f t="shared" si="3"/>
        <v>5.3912032710280373</v>
      </c>
      <c r="CG11" s="179">
        <f>SUM(F11,L11,R11,X11,AD11,AL11,AT11,BB11,BJ11)</f>
        <v>9211</v>
      </c>
      <c r="CH11" s="179">
        <f t="shared" si="4"/>
        <v>147</v>
      </c>
      <c r="CI11" s="183">
        <f t="shared" si="5"/>
        <v>828.99</v>
      </c>
      <c r="CJ11">
        <f t="shared" si="10"/>
        <v>5.6393877551020406</v>
      </c>
    </row>
    <row r="12" spans="1:88">
      <c r="A12" s="177" t="s">
        <v>70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>
        <v>4639</v>
      </c>
      <c r="U12" s="178">
        <v>84</v>
      </c>
      <c r="V12" s="178">
        <v>5414</v>
      </c>
      <c r="W12" s="178">
        <v>140</v>
      </c>
      <c r="X12" s="178">
        <v>354</v>
      </c>
      <c r="Y12" s="178">
        <v>11</v>
      </c>
      <c r="Z12" s="178">
        <v>6810</v>
      </c>
      <c r="AA12" s="178">
        <v>118</v>
      </c>
      <c r="AB12" s="178">
        <v>4783</v>
      </c>
      <c r="AC12" s="178">
        <v>121</v>
      </c>
      <c r="AD12" s="178">
        <v>343</v>
      </c>
      <c r="AE12" s="178">
        <v>8</v>
      </c>
      <c r="AF12" s="178"/>
      <c r="AG12" s="178"/>
      <c r="AH12" s="178">
        <v>7372</v>
      </c>
      <c r="AI12" s="178">
        <v>109</v>
      </c>
      <c r="AJ12" s="178">
        <v>5847</v>
      </c>
      <c r="AK12" s="178">
        <v>154</v>
      </c>
      <c r="AL12" s="178">
        <v>486</v>
      </c>
      <c r="AM12" s="178">
        <v>14</v>
      </c>
      <c r="AN12" s="178"/>
      <c r="AO12" s="178"/>
      <c r="AP12" s="178">
        <v>7471</v>
      </c>
      <c r="AQ12" s="178">
        <v>103</v>
      </c>
      <c r="AR12" s="178">
        <v>6545</v>
      </c>
      <c r="AS12" s="178">
        <v>174</v>
      </c>
      <c r="AT12" s="178">
        <v>554</v>
      </c>
      <c r="AU12" s="178">
        <v>14</v>
      </c>
      <c r="AV12" s="178"/>
      <c r="AW12" s="178"/>
      <c r="AX12" s="178">
        <v>7917</v>
      </c>
      <c r="AY12" s="178">
        <v>123</v>
      </c>
      <c r="AZ12" s="178">
        <v>5656</v>
      </c>
      <c r="BA12" s="178">
        <v>152</v>
      </c>
      <c r="BB12" s="178">
        <v>694</v>
      </c>
      <c r="BC12" s="178">
        <v>17</v>
      </c>
      <c r="BD12" s="178"/>
      <c r="BE12" s="178"/>
      <c r="BF12" s="178">
        <v>14041</v>
      </c>
      <c r="BG12" s="178">
        <v>232</v>
      </c>
      <c r="BH12" s="178">
        <v>11538</v>
      </c>
      <c r="BI12" s="178">
        <v>307</v>
      </c>
      <c r="BJ12" s="178">
        <v>809</v>
      </c>
      <c r="BK12" s="178">
        <v>24</v>
      </c>
      <c r="BL12" s="178"/>
      <c r="BM12" s="178"/>
      <c r="BP12" s="222"/>
      <c r="BQ12" s="177"/>
      <c r="BR12" s="222"/>
      <c r="BS12" s="177"/>
      <c r="BT12" s="222"/>
      <c r="BU12" s="177"/>
      <c r="BV12" s="222"/>
      <c r="BX12">
        <v>0.23400000000000001</v>
      </c>
      <c r="BY12" s="179">
        <f t="shared" si="9"/>
        <v>48250</v>
      </c>
      <c r="BZ12" s="179">
        <f t="shared" si="0"/>
        <v>769</v>
      </c>
      <c r="CA12" s="183">
        <f t="shared" si="11"/>
        <v>11290.5</v>
      </c>
      <c r="CB12" s="183">
        <f t="shared" si="1"/>
        <v>14.682054616384915</v>
      </c>
      <c r="CC12" s="179">
        <f>SUM(D12,J12,P12,V12,AB12,AJ12,AR12,AZ12,BH12)</f>
        <v>39783</v>
      </c>
      <c r="CD12" s="179">
        <f t="shared" si="2"/>
        <v>1048</v>
      </c>
      <c r="CE12" s="183">
        <f>BX12*CC12</f>
        <v>9309.2219999999998</v>
      </c>
      <c r="CF12" s="183">
        <f t="shared" si="3"/>
        <v>8.8828454198473281</v>
      </c>
      <c r="CG12" s="179">
        <f>SUM(F12,L12,R12,X12,AD12,AL12,AT12,BB12,BJ12)</f>
        <v>3240</v>
      </c>
      <c r="CH12" s="179">
        <f t="shared" si="4"/>
        <v>88</v>
      </c>
      <c r="CI12" s="183">
        <f t="shared" si="5"/>
        <v>758.16000000000008</v>
      </c>
      <c r="CJ12">
        <f t="shared" si="10"/>
        <v>8.615454545454547</v>
      </c>
    </row>
    <row r="13" spans="1:88">
      <c r="A13" s="177" t="s">
        <v>238</v>
      </c>
      <c r="B13" s="178">
        <v>131</v>
      </c>
      <c r="C13" s="178">
        <v>46</v>
      </c>
      <c r="D13" s="178">
        <v>36</v>
      </c>
      <c r="E13" s="178">
        <v>30</v>
      </c>
      <c r="F13" s="178">
        <v>20</v>
      </c>
      <c r="G13" s="178">
        <v>14</v>
      </c>
      <c r="H13" s="178">
        <v>153</v>
      </c>
      <c r="I13" s="178">
        <v>52</v>
      </c>
      <c r="J13" s="178">
        <v>63</v>
      </c>
      <c r="K13" s="178">
        <v>55</v>
      </c>
      <c r="L13" s="178">
        <v>26</v>
      </c>
      <c r="M13" s="178">
        <v>21</v>
      </c>
      <c r="N13" s="178">
        <v>168</v>
      </c>
      <c r="O13" s="178">
        <v>58</v>
      </c>
      <c r="P13" s="178">
        <v>64</v>
      </c>
      <c r="Q13" s="178">
        <v>58</v>
      </c>
      <c r="R13" s="178">
        <v>26</v>
      </c>
      <c r="S13" s="178">
        <v>25</v>
      </c>
      <c r="T13" s="178">
        <v>210</v>
      </c>
      <c r="U13" s="178">
        <v>72</v>
      </c>
      <c r="V13" s="178">
        <v>69</v>
      </c>
      <c r="W13" s="178">
        <v>59</v>
      </c>
      <c r="X13" s="178">
        <v>41</v>
      </c>
      <c r="Y13" s="178">
        <v>33</v>
      </c>
      <c r="Z13" s="178">
        <v>238</v>
      </c>
      <c r="AA13" s="178">
        <v>87</v>
      </c>
      <c r="AB13" s="178">
        <v>70</v>
      </c>
      <c r="AC13" s="178">
        <v>60</v>
      </c>
      <c r="AD13" s="178">
        <v>32</v>
      </c>
      <c r="AE13" s="178">
        <v>27</v>
      </c>
      <c r="AF13" s="178"/>
      <c r="AG13" s="178"/>
      <c r="AH13" s="178">
        <v>190</v>
      </c>
      <c r="AI13" s="178">
        <v>67</v>
      </c>
      <c r="AJ13" s="178">
        <v>70</v>
      </c>
      <c r="AK13" s="178">
        <v>65</v>
      </c>
      <c r="AL13" s="178">
        <v>22</v>
      </c>
      <c r="AM13" s="178">
        <v>20</v>
      </c>
      <c r="AN13" s="178"/>
      <c r="AO13" s="178"/>
      <c r="AP13" s="178">
        <v>225</v>
      </c>
      <c r="AQ13" s="178">
        <v>77</v>
      </c>
      <c r="AR13" s="178">
        <v>71</v>
      </c>
      <c r="AS13" s="178">
        <v>64</v>
      </c>
      <c r="AT13" s="178">
        <v>42</v>
      </c>
      <c r="AU13" s="178">
        <v>34</v>
      </c>
      <c r="AV13" s="178"/>
      <c r="AW13" s="178"/>
      <c r="AX13" s="178">
        <v>187</v>
      </c>
      <c r="AY13" s="178">
        <v>64</v>
      </c>
      <c r="AZ13" s="178">
        <v>67</v>
      </c>
      <c r="BA13" s="178">
        <v>64</v>
      </c>
      <c r="BB13" s="178">
        <v>28</v>
      </c>
      <c r="BC13" s="178">
        <v>26</v>
      </c>
      <c r="BD13" s="178"/>
      <c r="BE13" s="178"/>
      <c r="BF13" s="178">
        <v>290</v>
      </c>
      <c r="BG13" s="178">
        <v>102</v>
      </c>
      <c r="BH13" s="178">
        <v>78</v>
      </c>
      <c r="BI13" s="178">
        <v>67</v>
      </c>
      <c r="BJ13" s="178">
        <v>34</v>
      </c>
      <c r="BK13" s="178">
        <v>32</v>
      </c>
      <c r="BL13" s="178"/>
      <c r="BM13" s="178"/>
      <c r="BP13" s="222"/>
      <c r="BQ13" s="177"/>
      <c r="BR13" s="222"/>
      <c r="BS13" s="177"/>
      <c r="BT13" s="222"/>
      <c r="BU13" s="177"/>
      <c r="BV13" s="222"/>
      <c r="BX13">
        <v>79.558000000000007</v>
      </c>
      <c r="BY13" s="179">
        <f t="shared" si="9"/>
        <v>1792</v>
      </c>
      <c r="BZ13" s="179">
        <f t="shared" si="0"/>
        <v>625</v>
      </c>
      <c r="CA13" s="183">
        <f t="shared" si="11"/>
        <v>142567.93600000002</v>
      </c>
      <c r="CB13" s="183">
        <f t="shared" si="1"/>
        <v>228.10869760000003</v>
      </c>
      <c r="CC13" s="179">
        <f>SUM(D13,J13,P13,V13,AB13,AJ13,AR13,AZ13,BH13)</f>
        <v>588</v>
      </c>
      <c r="CD13" s="179">
        <f t="shared" si="2"/>
        <v>522</v>
      </c>
      <c r="CE13" s="183">
        <f>BX13*CC13</f>
        <v>46780.104000000007</v>
      </c>
      <c r="CF13" s="183">
        <f t="shared" si="3"/>
        <v>89.617057471264374</v>
      </c>
      <c r="CG13" s="179">
        <f>SUM(F13,L13,R13,X13,AD13,AL13,AT13,BB13,BJ13)</f>
        <v>271</v>
      </c>
      <c r="CH13" s="179">
        <f t="shared" si="4"/>
        <v>232</v>
      </c>
      <c r="CI13" s="183">
        <f t="shared" si="5"/>
        <v>21560.218000000001</v>
      </c>
      <c r="CJ13">
        <f t="shared" si="10"/>
        <v>92.931974137931036</v>
      </c>
    </row>
    <row r="14" spans="1:88">
      <c r="A14" s="177" t="s">
        <v>239</v>
      </c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>
        <v>4742</v>
      </c>
      <c r="AI14" s="178">
        <v>55</v>
      </c>
      <c r="AJ14" s="178">
        <v>1353</v>
      </c>
      <c r="AK14" s="178">
        <v>29</v>
      </c>
      <c r="AL14" s="178">
        <v>133</v>
      </c>
      <c r="AM14" s="178">
        <v>3</v>
      </c>
      <c r="AN14" s="178"/>
      <c r="AO14" s="178"/>
      <c r="AP14" s="178">
        <v>11928</v>
      </c>
      <c r="AQ14" s="178">
        <v>141</v>
      </c>
      <c r="AR14" s="178">
        <v>4867</v>
      </c>
      <c r="AS14" s="178">
        <v>112</v>
      </c>
      <c r="AT14" s="178">
        <v>28</v>
      </c>
      <c r="AU14" s="178">
        <v>1</v>
      </c>
      <c r="AV14" s="178"/>
      <c r="AW14" s="178"/>
      <c r="AX14" s="178">
        <v>18640</v>
      </c>
      <c r="AY14" s="178">
        <v>215</v>
      </c>
      <c r="AZ14" s="178">
        <v>10765</v>
      </c>
      <c r="BA14" s="178">
        <v>240</v>
      </c>
      <c r="BB14" s="178">
        <v>764</v>
      </c>
      <c r="BC14" s="178">
        <v>14</v>
      </c>
      <c r="BD14" s="178"/>
      <c r="BE14" s="178"/>
      <c r="BF14" s="178">
        <v>31549</v>
      </c>
      <c r="BG14" s="178">
        <v>360</v>
      </c>
      <c r="BH14" s="178">
        <v>15583</v>
      </c>
      <c r="BI14" s="178">
        <v>354</v>
      </c>
      <c r="BJ14" s="178">
        <v>1474</v>
      </c>
      <c r="BK14" s="178">
        <v>27</v>
      </c>
      <c r="BL14" s="178"/>
      <c r="BM14" s="178"/>
      <c r="BP14" s="222">
        <f t="shared" si="6"/>
        <v>20705.666666666668</v>
      </c>
      <c r="BQ14" s="177"/>
      <c r="BR14" s="222">
        <f t="shared" si="7"/>
        <v>10405</v>
      </c>
      <c r="BS14" s="177"/>
      <c r="BT14" s="222"/>
      <c r="BU14" s="177"/>
      <c r="BV14" s="222"/>
      <c r="BX14">
        <v>0.14899999999999999</v>
      </c>
      <c r="BY14" s="179">
        <f t="shared" si="9"/>
        <v>66859</v>
      </c>
      <c r="BZ14" s="179">
        <f t="shared" si="0"/>
        <v>771</v>
      </c>
      <c r="CA14" s="183">
        <f t="shared" si="11"/>
        <v>9961.991</v>
      </c>
      <c r="CB14" s="183">
        <f t="shared" si="1"/>
        <v>12.920870298313877</v>
      </c>
      <c r="CC14" s="179">
        <f>SUM(D14,J14,P14,V14,AB14,AJ14,AR14,AZ14,BH14)</f>
        <v>32568</v>
      </c>
      <c r="CD14" s="179">
        <f t="shared" si="2"/>
        <v>735</v>
      </c>
      <c r="CE14" s="183">
        <f>BX14*CC14</f>
        <v>4852.6319999999996</v>
      </c>
      <c r="CF14" s="183">
        <f t="shared" si="3"/>
        <v>6.6022204081632649</v>
      </c>
      <c r="CG14" s="179">
        <f>SUM(F14,L14,R14,X14,AD14,AL14,AT14,BB14,BJ14)</f>
        <v>2399</v>
      </c>
      <c r="CH14" s="179">
        <f t="shared" si="4"/>
        <v>45</v>
      </c>
      <c r="CI14" s="183">
        <f t="shared" si="5"/>
        <v>357.45099999999996</v>
      </c>
      <c r="CJ14">
        <f t="shared" si="10"/>
        <v>7.9433555555555548</v>
      </c>
    </row>
    <row r="15" spans="1:88">
      <c r="A15" s="177" t="s">
        <v>133</v>
      </c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>
        <v>92</v>
      </c>
      <c r="Y15" s="178">
        <v>1</v>
      </c>
      <c r="Z15" s="178">
        <v>4136</v>
      </c>
      <c r="AA15" s="178">
        <v>17</v>
      </c>
      <c r="AB15" s="178">
        <v>275</v>
      </c>
      <c r="AC15" s="178">
        <v>1</v>
      </c>
      <c r="AD15" s="178">
        <v>1251</v>
      </c>
      <c r="AE15" s="178">
        <v>7</v>
      </c>
      <c r="AF15" s="178"/>
      <c r="AG15" s="178"/>
      <c r="AH15" s="178">
        <v>2705</v>
      </c>
      <c r="AI15" s="178">
        <v>15</v>
      </c>
      <c r="AJ15" s="178">
        <v>30</v>
      </c>
      <c r="AK15" s="178">
        <v>1</v>
      </c>
      <c r="AL15" s="178">
        <v>595</v>
      </c>
      <c r="AM15" s="178">
        <v>7</v>
      </c>
      <c r="AN15" s="178"/>
      <c r="AO15" s="178"/>
      <c r="AP15" s="178">
        <v>3450</v>
      </c>
      <c r="AQ15" s="178">
        <v>18</v>
      </c>
      <c r="AR15" s="178">
        <v>30</v>
      </c>
      <c r="AS15" s="178">
        <v>1</v>
      </c>
      <c r="AT15" s="178">
        <v>1100</v>
      </c>
      <c r="AU15" s="178">
        <v>8</v>
      </c>
      <c r="AV15" s="178"/>
      <c r="AW15" s="178"/>
      <c r="AX15" s="178">
        <v>4476</v>
      </c>
      <c r="AY15" s="178">
        <v>19</v>
      </c>
      <c r="AZ15" s="178">
        <v>50</v>
      </c>
      <c r="BA15" s="178">
        <v>1</v>
      </c>
      <c r="BB15" s="178">
        <v>2502</v>
      </c>
      <c r="BC15" s="178">
        <v>21</v>
      </c>
      <c r="BD15" s="178">
        <v>644</v>
      </c>
      <c r="BE15" s="178">
        <v>2</v>
      </c>
      <c r="BF15" s="178">
        <v>6330</v>
      </c>
      <c r="BG15" s="178">
        <v>33</v>
      </c>
      <c r="BH15" s="178">
        <v>184</v>
      </c>
      <c r="BI15" s="178">
        <v>1</v>
      </c>
      <c r="BJ15" s="178">
        <v>2964</v>
      </c>
      <c r="BK15" s="178">
        <v>20</v>
      </c>
      <c r="BL15" s="178">
        <v>100</v>
      </c>
      <c r="BM15" s="178">
        <v>1</v>
      </c>
      <c r="BP15" s="222"/>
      <c r="BQ15" s="177"/>
      <c r="BR15" s="222"/>
      <c r="BS15" s="177"/>
      <c r="BT15" s="222">
        <f t="shared" si="8"/>
        <v>1581.8</v>
      </c>
      <c r="BU15" s="177"/>
      <c r="BV15" s="222">
        <f t="shared" ref="BV15:BV44" si="12">AVERAGE(AF15,AN15,AV15,BD15,BL15)</f>
        <v>372</v>
      </c>
      <c r="BX15">
        <v>0.19769999999999999</v>
      </c>
      <c r="BY15" s="179">
        <f t="shared" si="9"/>
        <v>21097</v>
      </c>
      <c r="BZ15" s="179">
        <f t="shared" si="0"/>
        <v>102</v>
      </c>
      <c r="CA15" s="183">
        <f t="shared" si="11"/>
        <v>4170.8768999999993</v>
      </c>
      <c r="CB15" s="183">
        <f t="shared" si="1"/>
        <v>40.890949999999997</v>
      </c>
      <c r="CC15" s="179">
        <f>SUM(D15,J15,P15,V15,AB15,AJ15,AR15,AZ15,BH15)</f>
        <v>569</v>
      </c>
      <c r="CD15" s="179">
        <f t="shared" si="2"/>
        <v>5</v>
      </c>
      <c r="CE15" s="183">
        <f>BX15*CC15</f>
        <v>112.4913</v>
      </c>
      <c r="CF15" s="183">
        <f t="shared" si="3"/>
        <v>22.498259999999998</v>
      </c>
      <c r="CG15" s="179">
        <f>SUM(F15,L15,R15,X15,AD15,AL15,AT15,BB15,BJ15)</f>
        <v>8504</v>
      </c>
      <c r="CH15" s="179">
        <f t="shared" si="4"/>
        <v>64</v>
      </c>
      <c r="CI15" s="183">
        <f t="shared" si="5"/>
        <v>1681.2407999999998</v>
      </c>
      <c r="CJ15">
        <f t="shared" si="10"/>
        <v>26.269387499999997</v>
      </c>
    </row>
    <row r="16" spans="1:88">
      <c r="A16" s="177" t="s">
        <v>136</v>
      </c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>
        <v>276</v>
      </c>
      <c r="U16" s="178">
        <v>2</v>
      </c>
      <c r="V16" s="178"/>
      <c r="W16" s="178"/>
      <c r="X16" s="178"/>
      <c r="Y16" s="178"/>
      <c r="Z16" s="178">
        <v>9427</v>
      </c>
      <c r="AA16" s="178">
        <v>45</v>
      </c>
      <c r="AB16" s="178">
        <v>244</v>
      </c>
      <c r="AC16" s="178">
        <v>2</v>
      </c>
      <c r="AD16" s="178">
        <v>1788</v>
      </c>
      <c r="AE16" s="178">
        <v>17</v>
      </c>
      <c r="AF16" s="178">
        <v>214</v>
      </c>
      <c r="AG16" s="178">
        <v>2</v>
      </c>
      <c r="AH16" s="178">
        <v>9227</v>
      </c>
      <c r="AI16" s="178">
        <v>46</v>
      </c>
      <c r="AJ16" s="178">
        <v>240</v>
      </c>
      <c r="AK16" s="178">
        <v>3</v>
      </c>
      <c r="AL16" s="178">
        <v>2332</v>
      </c>
      <c r="AM16" s="178">
        <v>22</v>
      </c>
      <c r="AN16" s="178">
        <v>210</v>
      </c>
      <c r="AO16" s="178">
        <v>3</v>
      </c>
      <c r="AP16" s="178">
        <v>5807</v>
      </c>
      <c r="AQ16" s="178">
        <v>30</v>
      </c>
      <c r="AR16" s="178">
        <v>306</v>
      </c>
      <c r="AS16" s="178">
        <v>2</v>
      </c>
      <c r="AT16" s="178">
        <v>4591</v>
      </c>
      <c r="AU16" s="178">
        <v>43</v>
      </c>
      <c r="AV16" s="178">
        <v>562</v>
      </c>
      <c r="AW16" s="178">
        <v>7</v>
      </c>
      <c r="AX16" s="178">
        <v>14260</v>
      </c>
      <c r="AY16" s="178">
        <v>71</v>
      </c>
      <c r="AZ16" s="178">
        <v>360</v>
      </c>
      <c r="BA16" s="178">
        <v>6</v>
      </c>
      <c r="BB16" s="178">
        <v>3561</v>
      </c>
      <c r="BC16" s="178">
        <v>41</v>
      </c>
      <c r="BD16" s="178">
        <v>773</v>
      </c>
      <c r="BE16" s="178">
        <v>9</v>
      </c>
      <c r="BF16" s="178">
        <v>18256</v>
      </c>
      <c r="BG16" s="178">
        <v>87</v>
      </c>
      <c r="BH16" s="178">
        <v>638</v>
      </c>
      <c r="BI16" s="178">
        <v>6</v>
      </c>
      <c r="BJ16" s="178">
        <v>8068</v>
      </c>
      <c r="BK16" s="178">
        <v>70</v>
      </c>
      <c r="BL16" s="178">
        <v>360</v>
      </c>
      <c r="BM16" s="178">
        <v>6</v>
      </c>
      <c r="BP16" s="222"/>
      <c r="BQ16" s="177"/>
      <c r="BR16" s="222"/>
      <c r="BS16" s="177"/>
      <c r="BT16" s="222">
        <f t="shared" si="8"/>
        <v>4502</v>
      </c>
      <c r="BU16" s="177"/>
      <c r="BV16" s="222">
        <f t="shared" si="12"/>
        <v>423.8</v>
      </c>
      <c r="BX16">
        <v>0.27579999999999999</v>
      </c>
      <c r="BY16" s="179">
        <f t="shared" si="9"/>
        <v>57253</v>
      </c>
      <c r="BZ16" s="179">
        <f t="shared" si="0"/>
        <v>281</v>
      </c>
      <c r="CA16" s="183">
        <f t="shared" si="11"/>
        <v>15790.377399999999</v>
      </c>
      <c r="CB16" s="183">
        <f t="shared" si="1"/>
        <v>56.193513879003554</v>
      </c>
      <c r="CC16" s="179">
        <f>SUM(D16,J16,P16,V16,AB16,AJ16,AR16,AZ16,BH16)</f>
        <v>1788</v>
      </c>
      <c r="CD16" s="179">
        <f t="shared" si="2"/>
        <v>19</v>
      </c>
      <c r="CE16" s="183">
        <f>BX16*CC16</f>
        <v>493.13040000000001</v>
      </c>
      <c r="CF16" s="183">
        <f t="shared" si="3"/>
        <v>25.954231578947368</v>
      </c>
      <c r="CG16" s="179">
        <f>SUM(F16,L16,R16,X16,AD16,AL16,AT16,BB16,BJ16)</f>
        <v>20340</v>
      </c>
      <c r="CH16" s="179">
        <f t="shared" si="4"/>
        <v>193</v>
      </c>
      <c r="CI16" s="183">
        <f t="shared" si="5"/>
        <v>5609.7719999999999</v>
      </c>
      <c r="CJ16">
        <f t="shared" si="10"/>
        <v>29.066176165803107</v>
      </c>
    </row>
    <row r="17" spans="1:88">
      <c r="A17" s="177" t="s">
        <v>240</v>
      </c>
      <c r="B17" s="178">
        <v>60676</v>
      </c>
      <c r="C17" s="178">
        <v>595</v>
      </c>
      <c r="D17" s="178">
        <v>37054</v>
      </c>
      <c r="E17" s="178">
        <v>457</v>
      </c>
      <c r="F17" s="178">
        <v>1438</v>
      </c>
      <c r="G17" s="178">
        <v>17</v>
      </c>
      <c r="H17" s="178">
        <v>78446</v>
      </c>
      <c r="I17" s="178">
        <v>760</v>
      </c>
      <c r="J17" s="178">
        <v>50758</v>
      </c>
      <c r="K17" s="178">
        <v>724</v>
      </c>
      <c r="L17" s="178">
        <v>950</v>
      </c>
      <c r="M17" s="178">
        <v>18</v>
      </c>
      <c r="N17" s="178">
        <v>59522</v>
      </c>
      <c r="O17" s="178">
        <v>587</v>
      </c>
      <c r="P17" s="178">
        <v>36072</v>
      </c>
      <c r="Q17" s="178">
        <v>530</v>
      </c>
      <c r="R17" s="178">
        <v>1709</v>
      </c>
      <c r="S17" s="178">
        <v>26</v>
      </c>
      <c r="T17" s="178">
        <v>14054</v>
      </c>
      <c r="U17" s="178">
        <v>143</v>
      </c>
      <c r="V17" s="178">
        <v>5888</v>
      </c>
      <c r="W17" s="178">
        <v>86</v>
      </c>
      <c r="X17" s="178">
        <v>146</v>
      </c>
      <c r="Y17" s="178">
        <v>2</v>
      </c>
      <c r="Z17" s="178">
        <v>3626</v>
      </c>
      <c r="AA17" s="178">
        <v>40</v>
      </c>
      <c r="AB17" s="178">
        <v>2315</v>
      </c>
      <c r="AC17" s="178">
        <v>33</v>
      </c>
      <c r="AD17" s="178"/>
      <c r="AE17" s="178"/>
      <c r="AF17" s="178"/>
      <c r="AG17" s="178"/>
      <c r="AH17" s="178">
        <v>727</v>
      </c>
      <c r="AI17" s="178">
        <v>8</v>
      </c>
      <c r="AJ17" s="178">
        <v>691</v>
      </c>
      <c r="AK17" s="178">
        <v>11</v>
      </c>
      <c r="AL17" s="178">
        <v>138</v>
      </c>
      <c r="AM17" s="178">
        <v>1</v>
      </c>
      <c r="AN17" s="178"/>
      <c r="AO17" s="178"/>
      <c r="AP17" s="178">
        <v>318</v>
      </c>
      <c r="AQ17" s="178">
        <v>3</v>
      </c>
      <c r="AR17" s="178">
        <v>182</v>
      </c>
      <c r="AS17" s="178">
        <v>3</v>
      </c>
      <c r="AT17" s="178"/>
      <c r="AU17" s="178"/>
      <c r="AV17" s="178"/>
      <c r="AW17" s="178"/>
      <c r="AX17" s="178">
        <v>7</v>
      </c>
      <c r="AY17" s="178">
        <v>2</v>
      </c>
      <c r="AZ17" s="178"/>
      <c r="BA17" s="178"/>
      <c r="BB17" s="178"/>
      <c r="BC17" s="178"/>
      <c r="BD17" s="178"/>
      <c r="BE17" s="178"/>
      <c r="BF17" s="178">
        <v>98</v>
      </c>
      <c r="BG17" s="178">
        <v>2</v>
      </c>
      <c r="BH17" s="178">
        <v>60</v>
      </c>
      <c r="BI17" s="178">
        <v>1</v>
      </c>
      <c r="BJ17" s="178"/>
      <c r="BK17" s="178"/>
      <c r="BL17" s="178"/>
      <c r="BM17" s="178"/>
      <c r="BP17" s="222">
        <f t="shared" si="6"/>
        <v>27093.375</v>
      </c>
      <c r="BQ17" s="177"/>
      <c r="BR17" s="222">
        <f t="shared" si="7"/>
        <v>18904.142857142859</v>
      </c>
      <c r="BS17" s="177"/>
      <c r="BT17" s="222">
        <f t="shared" si="8"/>
        <v>1060.75</v>
      </c>
      <c r="BU17" s="177"/>
      <c r="BV17" s="222"/>
      <c r="BX17">
        <v>0.1119</v>
      </c>
      <c r="BY17" s="179">
        <f t="shared" si="9"/>
        <v>217474</v>
      </c>
      <c r="BZ17" s="179">
        <f t="shared" si="0"/>
        <v>2140</v>
      </c>
      <c r="CA17" s="183">
        <f t="shared" si="11"/>
        <v>24335.3406</v>
      </c>
      <c r="CB17" s="183">
        <f t="shared" si="1"/>
        <v>11.371654485981308</v>
      </c>
      <c r="CC17" s="179">
        <f>SUM(D17,J17,P17,V17,AB17,AJ17,AR17,AZ17,BH17)</f>
        <v>133020</v>
      </c>
      <c r="CD17" s="179">
        <f t="shared" si="2"/>
        <v>1845</v>
      </c>
      <c r="CE17" s="183">
        <f>BX17*CC17</f>
        <v>14884.938</v>
      </c>
      <c r="CF17" s="183">
        <f t="shared" si="3"/>
        <v>8.0677170731707317</v>
      </c>
      <c r="CG17" s="179">
        <f>SUM(F17,L17,R17,X17,AD17,AL17,AT17,BB17,BJ17)</f>
        <v>4381</v>
      </c>
      <c r="CH17" s="179">
        <f t="shared" si="4"/>
        <v>64</v>
      </c>
      <c r="CI17" s="183">
        <f t="shared" si="5"/>
        <v>490.23390000000001</v>
      </c>
      <c r="CJ17">
        <f t="shared" si="10"/>
        <v>7.6599046875000001</v>
      </c>
    </row>
    <row r="18" spans="1:88">
      <c r="A18" s="177" t="s">
        <v>241</v>
      </c>
      <c r="B18" s="178">
        <v>19564</v>
      </c>
      <c r="C18" s="178">
        <v>225</v>
      </c>
      <c r="D18" s="178">
        <v>11631</v>
      </c>
      <c r="E18" s="178">
        <v>181</v>
      </c>
      <c r="F18" s="178">
        <v>911</v>
      </c>
      <c r="G18" s="178">
        <v>14</v>
      </c>
      <c r="H18" s="178">
        <v>25487</v>
      </c>
      <c r="I18" s="178">
        <v>291</v>
      </c>
      <c r="J18" s="178">
        <v>11993</v>
      </c>
      <c r="K18" s="178">
        <v>220</v>
      </c>
      <c r="L18" s="178">
        <v>1112</v>
      </c>
      <c r="M18" s="178">
        <v>17</v>
      </c>
      <c r="N18" s="178">
        <v>23652</v>
      </c>
      <c r="O18" s="178">
        <v>277</v>
      </c>
      <c r="P18" s="178">
        <v>8970</v>
      </c>
      <c r="Q18" s="178">
        <v>182</v>
      </c>
      <c r="R18" s="178">
        <v>572</v>
      </c>
      <c r="S18" s="178">
        <v>11</v>
      </c>
      <c r="T18" s="178">
        <v>17050</v>
      </c>
      <c r="U18" s="178">
        <v>207</v>
      </c>
      <c r="V18" s="178">
        <v>9123</v>
      </c>
      <c r="W18" s="178">
        <v>183</v>
      </c>
      <c r="X18" s="178">
        <v>960</v>
      </c>
      <c r="Y18" s="178">
        <v>16</v>
      </c>
      <c r="Z18" s="178">
        <v>24262</v>
      </c>
      <c r="AA18" s="178">
        <v>286</v>
      </c>
      <c r="AB18" s="178">
        <v>9913</v>
      </c>
      <c r="AC18" s="178">
        <v>183</v>
      </c>
      <c r="AD18" s="178">
        <v>694</v>
      </c>
      <c r="AE18" s="178">
        <v>13</v>
      </c>
      <c r="AF18" s="178"/>
      <c r="AG18" s="178"/>
      <c r="AH18" s="178">
        <v>24696</v>
      </c>
      <c r="AI18" s="178">
        <v>292</v>
      </c>
      <c r="AJ18" s="178">
        <v>11530</v>
      </c>
      <c r="AK18" s="178">
        <v>209</v>
      </c>
      <c r="AL18" s="178">
        <v>1177</v>
      </c>
      <c r="AM18" s="178">
        <v>19</v>
      </c>
      <c r="AN18" s="178"/>
      <c r="AO18" s="178"/>
      <c r="AP18" s="178">
        <v>20813</v>
      </c>
      <c r="AQ18" s="178">
        <v>247</v>
      </c>
      <c r="AR18" s="178">
        <v>10487</v>
      </c>
      <c r="AS18" s="178">
        <v>216</v>
      </c>
      <c r="AT18" s="178">
        <v>744</v>
      </c>
      <c r="AU18" s="178">
        <v>15</v>
      </c>
      <c r="AV18" s="178"/>
      <c r="AW18" s="178"/>
      <c r="AX18" s="178">
        <v>22973</v>
      </c>
      <c r="AY18" s="178">
        <v>276</v>
      </c>
      <c r="AZ18" s="178">
        <v>8975</v>
      </c>
      <c r="BA18" s="178">
        <v>188</v>
      </c>
      <c r="BB18" s="178">
        <v>701</v>
      </c>
      <c r="BC18" s="178">
        <v>14</v>
      </c>
      <c r="BD18" s="178"/>
      <c r="BE18" s="178"/>
      <c r="BF18" s="178">
        <v>25260</v>
      </c>
      <c r="BG18" s="178">
        <v>314</v>
      </c>
      <c r="BH18" s="178">
        <v>13449</v>
      </c>
      <c r="BI18" s="178">
        <v>258</v>
      </c>
      <c r="BJ18" s="178">
        <v>1651</v>
      </c>
      <c r="BK18" s="178">
        <v>24</v>
      </c>
      <c r="BL18" s="178"/>
      <c r="BM18" s="178"/>
      <c r="BP18" s="222">
        <f t="shared" si="6"/>
        <v>22382.625</v>
      </c>
      <c r="BQ18" s="177"/>
      <c r="BR18" s="222">
        <f t="shared" si="7"/>
        <v>10567.625</v>
      </c>
      <c r="BS18" s="177"/>
      <c r="BT18" s="222"/>
      <c r="BU18" s="177"/>
      <c r="BV18" s="222"/>
      <c r="BX18">
        <v>2.9000000000000001E-2</v>
      </c>
      <c r="BY18" s="179">
        <f t="shared" si="9"/>
        <v>203757</v>
      </c>
      <c r="BZ18" s="179">
        <f t="shared" si="0"/>
        <v>2415</v>
      </c>
      <c r="CA18" s="183">
        <f t="shared" si="11"/>
        <v>5908.9530000000004</v>
      </c>
      <c r="CB18" s="183">
        <f t="shared" si="1"/>
        <v>2.4467714285714286</v>
      </c>
      <c r="CC18" s="179">
        <f>SUM(D18,J18,P18,V18,AB18,AJ18,AR18,AZ18,BH18)</f>
        <v>96071</v>
      </c>
      <c r="CD18" s="179">
        <f t="shared" si="2"/>
        <v>1820</v>
      </c>
      <c r="CE18" s="183">
        <f>BX18*CC18</f>
        <v>2786.0590000000002</v>
      </c>
      <c r="CF18" s="183">
        <f t="shared" si="3"/>
        <v>1.5308016483516484</v>
      </c>
      <c r="CG18" s="179">
        <f>SUM(F18,L18,R18,X18,AD18,AL18,AT18,BB18,BJ18)</f>
        <v>8522</v>
      </c>
      <c r="CH18" s="179">
        <f t="shared" si="4"/>
        <v>143</v>
      </c>
      <c r="CI18" s="183">
        <f t="shared" si="5"/>
        <v>247.13800000000001</v>
      </c>
      <c r="CJ18">
        <f t="shared" si="10"/>
        <v>1.7282377622377623</v>
      </c>
    </row>
    <row r="19" spans="1:88">
      <c r="A19" s="177" t="s">
        <v>242</v>
      </c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>
        <v>2150</v>
      </c>
      <c r="AA19" s="178">
        <v>810</v>
      </c>
      <c r="AB19" s="178">
        <v>426</v>
      </c>
      <c r="AC19" s="178">
        <v>298</v>
      </c>
      <c r="AD19" s="178">
        <v>74</v>
      </c>
      <c r="AE19" s="178">
        <v>54</v>
      </c>
      <c r="AF19" s="178"/>
      <c r="AG19" s="178"/>
      <c r="AH19" s="178">
        <v>1315</v>
      </c>
      <c r="AI19" s="178">
        <v>507</v>
      </c>
      <c r="AJ19" s="178">
        <v>372</v>
      </c>
      <c r="AK19" s="178">
        <v>282</v>
      </c>
      <c r="AL19" s="178">
        <v>59</v>
      </c>
      <c r="AM19" s="178">
        <v>44</v>
      </c>
      <c r="AN19" s="178"/>
      <c r="AO19" s="178"/>
      <c r="AP19" s="178">
        <v>257</v>
      </c>
      <c r="AQ19" s="178">
        <v>97</v>
      </c>
      <c r="AR19" s="178">
        <v>189</v>
      </c>
      <c r="AS19" s="178">
        <v>138</v>
      </c>
      <c r="AT19" s="178">
        <v>26</v>
      </c>
      <c r="AU19" s="178">
        <v>19</v>
      </c>
      <c r="AV19" s="178"/>
      <c r="AW19" s="178"/>
      <c r="AX19" s="178">
        <v>122</v>
      </c>
      <c r="AY19" s="178">
        <v>49</v>
      </c>
      <c r="AZ19" s="178">
        <v>52</v>
      </c>
      <c r="BA19" s="178">
        <v>40</v>
      </c>
      <c r="BB19" s="178">
        <v>4</v>
      </c>
      <c r="BC19" s="178">
        <v>3</v>
      </c>
      <c r="BD19" s="178"/>
      <c r="BE19" s="178"/>
      <c r="BF19" s="178">
        <v>720</v>
      </c>
      <c r="BG19" s="178">
        <v>254</v>
      </c>
      <c r="BH19" s="178">
        <v>210</v>
      </c>
      <c r="BI19" s="178">
        <v>135</v>
      </c>
      <c r="BJ19" s="178">
        <v>25</v>
      </c>
      <c r="BK19" s="178">
        <v>16</v>
      </c>
      <c r="BL19" s="178"/>
      <c r="BM19" s="178"/>
      <c r="BP19" s="222"/>
      <c r="BQ19" s="177"/>
      <c r="BR19" s="222"/>
      <c r="BS19" s="177"/>
      <c r="BT19" s="222"/>
      <c r="BU19" s="177"/>
      <c r="BV19" s="222"/>
      <c r="BX19">
        <v>30.99</v>
      </c>
      <c r="BY19" s="179">
        <f t="shared" si="9"/>
        <v>4564</v>
      </c>
      <c r="BZ19" s="179">
        <f t="shared" si="0"/>
        <v>1717</v>
      </c>
      <c r="CA19" s="183">
        <f t="shared" si="11"/>
        <v>141438.35999999999</v>
      </c>
      <c r="CB19" s="183">
        <f t="shared" si="1"/>
        <v>82.375282469423411</v>
      </c>
      <c r="CC19" s="179">
        <f>SUM(D19,J19,P19,V19,AB19,AJ19,AR19,AZ19,BH19)</f>
        <v>1249</v>
      </c>
      <c r="CD19" s="179">
        <f t="shared" si="2"/>
        <v>893</v>
      </c>
      <c r="CE19" s="183">
        <f>BX19*CC19</f>
        <v>38706.509999999995</v>
      </c>
      <c r="CF19" s="183">
        <f t="shared" si="3"/>
        <v>43.344356103023507</v>
      </c>
      <c r="CG19" s="179">
        <f>SUM(F19,L19,R19,X19,AD19,AL19,AT19,BB19,BJ19)</f>
        <v>188</v>
      </c>
      <c r="CH19" s="179">
        <f t="shared" si="4"/>
        <v>136</v>
      </c>
      <c r="CI19" s="183">
        <f t="shared" si="5"/>
        <v>5826.12</v>
      </c>
      <c r="CJ19">
        <f t="shared" si="10"/>
        <v>42.839117647058821</v>
      </c>
    </row>
    <row r="20" spans="1:88">
      <c r="A20" s="177" t="s">
        <v>243</v>
      </c>
      <c r="B20" s="178">
        <v>42322</v>
      </c>
      <c r="C20" s="178">
        <v>660</v>
      </c>
      <c r="D20" s="178">
        <v>18666</v>
      </c>
      <c r="E20" s="178">
        <v>371</v>
      </c>
      <c r="F20" s="178">
        <v>1179</v>
      </c>
      <c r="G20" s="178">
        <v>17</v>
      </c>
      <c r="H20" s="178">
        <v>50259</v>
      </c>
      <c r="I20" s="178">
        <v>777</v>
      </c>
      <c r="J20" s="178">
        <v>29562</v>
      </c>
      <c r="K20" s="178">
        <v>639</v>
      </c>
      <c r="L20" s="178">
        <v>1416</v>
      </c>
      <c r="M20" s="178">
        <v>33</v>
      </c>
      <c r="N20" s="178">
        <v>50937</v>
      </c>
      <c r="O20" s="178">
        <v>776</v>
      </c>
      <c r="P20" s="178">
        <v>20376</v>
      </c>
      <c r="Q20" s="178">
        <v>510</v>
      </c>
      <c r="R20" s="178">
        <v>857</v>
      </c>
      <c r="S20" s="178">
        <v>19</v>
      </c>
      <c r="T20" s="178">
        <v>46733</v>
      </c>
      <c r="U20" s="178">
        <v>722</v>
      </c>
      <c r="V20" s="178">
        <v>22655</v>
      </c>
      <c r="W20" s="178">
        <v>514</v>
      </c>
      <c r="X20" s="178">
        <v>1052</v>
      </c>
      <c r="Y20" s="178">
        <v>22</v>
      </c>
      <c r="Z20" s="178">
        <v>49268</v>
      </c>
      <c r="AA20" s="178">
        <v>755</v>
      </c>
      <c r="AB20" s="178">
        <v>20267</v>
      </c>
      <c r="AC20" s="178">
        <v>467</v>
      </c>
      <c r="AD20" s="178">
        <v>1157</v>
      </c>
      <c r="AE20" s="178">
        <v>20</v>
      </c>
      <c r="AF20" s="178"/>
      <c r="AG20" s="178"/>
      <c r="AH20" s="178">
        <v>48426</v>
      </c>
      <c r="AI20" s="178">
        <v>747</v>
      </c>
      <c r="AJ20" s="178">
        <v>21405</v>
      </c>
      <c r="AK20" s="178">
        <v>481</v>
      </c>
      <c r="AL20" s="178">
        <v>1324</v>
      </c>
      <c r="AM20" s="178">
        <v>24</v>
      </c>
      <c r="AN20" s="178"/>
      <c r="AO20" s="178"/>
      <c r="AP20" s="178">
        <v>42909</v>
      </c>
      <c r="AQ20" s="178">
        <v>657</v>
      </c>
      <c r="AR20" s="178">
        <v>20177</v>
      </c>
      <c r="AS20" s="178">
        <v>451</v>
      </c>
      <c r="AT20" s="178">
        <v>1000</v>
      </c>
      <c r="AU20" s="178">
        <v>23</v>
      </c>
      <c r="AV20" s="178"/>
      <c r="AW20" s="178"/>
      <c r="AX20" s="178">
        <v>19840</v>
      </c>
      <c r="AY20" s="178">
        <v>327</v>
      </c>
      <c r="AZ20" s="178">
        <v>7249</v>
      </c>
      <c r="BA20" s="178">
        <v>172</v>
      </c>
      <c r="BB20" s="178">
        <v>634</v>
      </c>
      <c r="BC20" s="178">
        <v>10</v>
      </c>
      <c r="BD20" s="178"/>
      <c r="BE20" s="178"/>
      <c r="BF20" s="178">
        <v>5955</v>
      </c>
      <c r="BG20" s="178">
        <v>104</v>
      </c>
      <c r="BH20" s="178">
        <v>2735</v>
      </c>
      <c r="BI20" s="178">
        <v>63</v>
      </c>
      <c r="BJ20" s="178">
        <v>16</v>
      </c>
      <c r="BK20" s="178">
        <v>1</v>
      </c>
      <c r="BL20" s="178"/>
      <c r="BM20" s="178"/>
      <c r="BP20" s="222">
        <f t="shared" si="6"/>
        <v>38527.875</v>
      </c>
      <c r="BQ20" s="177"/>
      <c r="BR20" s="222">
        <f t="shared" si="7"/>
        <v>17710.875</v>
      </c>
      <c r="BS20" s="177"/>
      <c r="BT20" s="222"/>
      <c r="BU20" s="222"/>
      <c r="BV20" s="222"/>
      <c r="BX20">
        <v>4.8000000000000001E-2</v>
      </c>
      <c r="BY20" s="179">
        <f t="shared" si="9"/>
        <v>356649</v>
      </c>
      <c r="BZ20" s="179">
        <f t="shared" si="0"/>
        <v>5525</v>
      </c>
      <c r="CA20" s="183">
        <f t="shared" si="11"/>
        <v>17119.152000000002</v>
      </c>
      <c r="CB20" s="183">
        <f t="shared" si="1"/>
        <v>3.0984890497737561</v>
      </c>
      <c r="CC20" s="179">
        <f>SUM(D20,J20,P20,V20,AB20,AJ20,AR20,AZ20,BH20)</f>
        <v>163092</v>
      </c>
      <c r="CD20" s="179">
        <f t="shared" si="2"/>
        <v>3668</v>
      </c>
      <c r="CE20" s="183">
        <f>BX20*CC20</f>
        <v>7828.4160000000002</v>
      </c>
      <c r="CF20" s="183">
        <f t="shared" si="3"/>
        <v>2.134246455834242</v>
      </c>
      <c r="CG20" s="179">
        <f>SUM(F20,L20,R20,X20,AD20,AL20,AT20,BB20,BJ20)</f>
        <v>8635</v>
      </c>
      <c r="CH20" s="179">
        <f t="shared" si="4"/>
        <v>169</v>
      </c>
      <c r="CI20" s="183">
        <f t="shared" si="5"/>
        <v>414.48</v>
      </c>
      <c r="CJ20">
        <f t="shared" si="10"/>
        <v>2.4525443786982248</v>
      </c>
    </row>
    <row r="21" spans="1:88">
      <c r="A21" s="177" t="s">
        <v>244</v>
      </c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>
        <v>122</v>
      </c>
      <c r="U21" s="178">
        <v>2</v>
      </c>
      <c r="V21" s="178">
        <v>30</v>
      </c>
      <c r="W21" s="178">
        <v>1</v>
      </c>
      <c r="X21" s="178"/>
      <c r="Y21" s="178"/>
      <c r="Z21" s="178">
        <v>12888</v>
      </c>
      <c r="AA21" s="178">
        <v>150</v>
      </c>
      <c r="AB21" s="178">
        <v>6671</v>
      </c>
      <c r="AC21" s="178">
        <v>116</v>
      </c>
      <c r="AD21" s="178">
        <v>60</v>
      </c>
      <c r="AE21" s="178">
        <v>2</v>
      </c>
      <c r="AF21" s="178"/>
      <c r="AG21" s="178"/>
      <c r="AH21" s="178">
        <v>23302</v>
      </c>
      <c r="AI21" s="178">
        <v>251</v>
      </c>
      <c r="AJ21" s="178">
        <v>13211</v>
      </c>
      <c r="AK21" s="178">
        <v>250</v>
      </c>
      <c r="AL21" s="178">
        <v>90</v>
      </c>
      <c r="AM21" s="178">
        <v>3</v>
      </c>
      <c r="AN21" s="178"/>
      <c r="AO21" s="178"/>
      <c r="AP21" s="178">
        <v>23275</v>
      </c>
      <c r="AQ21" s="178">
        <v>278</v>
      </c>
      <c r="AR21" s="178">
        <v>16045</v>
      </c>
      <c r="AS21" s="178">
        <v>340</v>
      </c>
      <c r="AT21" s="178">
        <v>847</v>
      </c>
      <c r="AU21" s="178">
        <v>13</v>
      </c>
      <c r="AV21" s="178"/>
      <c r="AW21" s="178"/>
      <c r="AX21" s="178">
        <v>24092</v>
      </c>
      <c r="AY21" s="178">
        <v>294</v>
      </c>
      <c r="AZ21" s="178">
        <v>18090</v>
      </c>
      <c r="BA21" s="178">
        <v>356</v>
      </c>
      <c r="BB21" s="178">
        <v>512</v>
      </c>
      <c r="BC21" s="178">
        <v>8</v>
      </c>
      <c r="BD21" s="178"/>
      <c r="BE21" s="178"/>
      <c r="BF21" s="178">
        <v>39440</v>
      </c>
      <c r="BG21" s="178">
        <v>440</v>
      </c>
      <c r="BH21" s="178">
        <v>22581</v>
      </c>
      <c r="BI21" s="178">
        <v>434</v>
      </c>
      <c r="BJ21" s="178">
        <v>726</v>
      </c>
      <c r="BK21" s="178">
        <v>14</v>
      </c>
      <c r="BL21" s="178"/>
      <c r="BM21" s="178"/>
      <c r="BP21" s="222">
        <f t="shared" si="6"/>
        <v>19963.400000000001</v>
      </c>
      <c r="BQ21" s="177"/>
      <c r="BR21" s="222">
        <f t="shared" si="7"/>
        <v>12683.4</v>
      </c>
      <c r="BS21" s="177"/>
      <c r="BT21" s="222"/>
      <c r="BU21" s="177"/>
      <c r="BV21" s="222"/>
      <c r="BX21">
        <v>0.06</v>
      </c>
      <c r="BY21" s="179">
        <f t="shared" si="9"/>
        <v>123119</v>
      </c>
      <c r="BZ21" s="179">
        <f t="shared" si="0"/>
        <v>1415</v>
      </c>
      <c r="CA21" s="183">
        <f t="shared" si="11"/>
        <v>7387.1399999999994</v>
      </c>
      <c r="CB21" s="183">
        <f t="shared" si="1"/>
        <v>5.2205936395759709</v>
      </c>
      <c r="CC21" s="179">
        <f>SUM(D21,J21,P21,V21,AB21,AJ21,AR21,AZ21,BH21)</f>
        <v>76628</v>
      </c>
      <c r="CD21" s="179">
        <f t="shared" si="2"/>
        <v>1497</v>
      </c>
      <c r="CE21" s="183">
        <f>BX21*CC21</f>
        <v>4597.6799999999994</v>
      </c>
      <c r="CF21" s="183">
        <f t="shared" si="3"/>
        <v>3.0712625250500998</v>
      </c>
      <c r="CG21" s="179">
        <f>SUM(F21,L21,R21,X21,AD21,AL21,AT21,BB21,BJ21)</f>
        <v>2235</v>
      </c>
      <c r="CH21" s="179">
        <f t="shared" si="4"/>
        <v>40</v>
      </c>
      <c r="CI21" s="183">
        <f t="shared" si="5"/>
        <v>134.1</v>
      </c>
      <c r="CJ21">
        <f t="shared" si="10"/>
        <v>3.3525</v>
      </c>
    </row>
    <row r="22" spans="1:88">
      <c r="A22" s="177" t="s">
        <v>245</v>
      </c>
      <c r="B22" s="178">
        <v>50653</v>
      </c>
      <c r="C22" s="178">
        <v>460</v>
      </c>
      <c r="D22" s="178">
        <v>15111</v>
      </c>
      <c r="E22" s="178">
        <v>199</v>
      </c>
      <c r="F22" s="178">
        <v>884</v>
      </c>
      <c r="G22" s="178">
        <v>11</v>
      </c>
      <c r="H22" s="178">
        <v>61245</v>
      </c>
      <c r="I22" s="178">
        <v>555</v>
      </c>
      <c r="J22" s="178">
        <v>20367</v>
      </c>
      <c r="K22" s="178">
        <v>272</v>
      </c>
      <c r="L22" s="178">
        <v>1094</v>
      </c>
      <c r="M22" s="178">
        <v>18</v>
      </c>
      <c r="N22" s="178">
        <v>58936</v>
      </c>
      <c r="O22" s="178">
        <v>529</v>
      </c>
      <c r="P22" s="178">
        <v>18402</v>
      </c>
      <c r="Q22" s="178">
        <v>264</v>
      </c>
      <c r="R22" s="178">
        <v>820</v>
      </c>
      <c r="S22" s="178">
        <v>10</v>
      </c>
      <c r="T22" s="178">
        <v>64588</v>
      </c>
      <c r="U22" s="178">
        <v>550</v>
      </c>
      <c r="V22" s="178">
        <v>21915</v>
      </c>
      <c r="W22" s="178">
        <v>293</v>
      </c>
      <c r="X22" s="178">
        <v>839</v>
      </c>
      <c r="Y22" s="178">
        <v>16</v>
      </c>
      <c r="Z22" s="178">
        <v>65168</v>
      </c>
      <c r="AA22" s="178">
        <v>572</v>
      </c>
      <c r="AB22" s="178">
        <v>18867</v>
      </c>
      <c r="AC22" s="178">
        <v>243</v>
      </c>
      <c r="AD22" s="178">
        <v>1306</v>
      </c>
      <c r="AE22" s="178">
        <v>19</v>
      </c>
      <c r="AF22" s="178"/>
      <c r="AG22" s="178"/>
      <c r="AH22" s="178">
        <v>58573</v>
      </c>
      <c r="AI22" s="178">
        <v>518</v>
      </c>
      <c r="AJ22" s="178">
        <v>16440</v>
      </c>
      <c r="AK22" s="178">
        <v>256</v>
      </c>
      <c r="AL22" s="178">
        <v>1239</v>
      </c>
      <c r="AM22" s="178">
        <v>16</v>
      </c>
      <c r="AN22" s="178"/>
      <c r="AO22" s="178"/>
      <c r="AP22" s="178">
        <v>53809</v>
      </c>
      <c r="AQ22" s="178">
        <v>491</v>
      </c>
      <c r="AR22" s="178">
        <v>16021</v>
      </c>
      <c r="AS22" s="178">
        <v>240</v>
      </c>
      <c r="AT22" s="178">
        <v>824</v>
      </c>
      <c r="AU22" s="178">
        <v>14</v>
      </c>
      <c r="AV22" s="178"/>
      <c r="AW22" s="178"/>
      <c r="AX22" s="178">
        <v>27905</v>
      </c>
      <c r="AY22" s="178">
        <v>270</v>
      </c>
      <c r="AZ22" s="178">
        <v>12125</v>
      </c>
      <c r="BA22" s="178">
        <v>175</v>
      </c>
      <c r="BB22" s="178">
        <v>369</v>
      </c>
      <c r="BC22" s="178">
        <v>8</v>
      </c>
      <c r="BD22" s="178"/>
      <c r="BE22" s="178"/>
      <c r="BF22" s="178">
        <v>14209</v>
      </c>
      <c r="BG22" s="178">
        <v>151</v>
      </c>
      <c r="BH22" s="178">
        <v>5147</v>
      </c>
      <c r="BI22" s="178">
        <v>85</v>
      </c>
      <c r="BJ22" s="178">
        <v>407</v>
      </c>
      <c r="BK22" s="178">
        <v>7</v>
      </c>
      <c r="BL22" s="178"/>
      <c r="BM22" s="178"/>
      <c r="BP22" s="222">
        <f t="shared" si="6"/>
        <v>49564.125</v>
      </c>
      <c r="BQ22" s="177"/>
      <c r="BR22" s="222">
        <f t="shared" si="7"/>
        <v>15994.375</v>
      </c>
      <c r="BS22" s="177"/>
      <c r="BT22" s="222"/>
      <c r="BU22" s="177"/>
      <c r="BV22" s="222"/>
      <c r="BX22">
        <v>5.8500000000000003E-2</v>
      </c>
      <c r="BY22" s="179">
        <f t="shared" si="9"/>
        <v>455086</v>
      </c>
      <c r="BZ22" s="179">
        <f t="shared" si="0"/>
        <v>4096</v>
      </c>
      <c r="CA22" s="183">
        <f t="shared" si="11"/>
        <v>26622.531000000003</v>
      </c>
      <c r="CB22" s="183">
        <f t="shared" si="1"/>
        <v>6.4996413574218757</v>
      </c>
      <c r="CC22" s="179">
        <f>SUM(D22,J22,P22,V22,AB22,AJ22,AR22,AZ22,BH22)</f>
        <v>144395</v>
      </c>
      <c r="CD22" s="179">
        <f t="shared" si="2"/>
        <v>2027</v>
      </c>
      <c r="CE22" s="183">
        <f>BX22*CC22</f>
        <v>8447.1075000000001</v>
      </c>
      <c r="CF22" s="183">
        <f t="shared" si="3"/>
        <v>4.1672952639368521</v>
      </c>
      <c r="CG22" s="179">
        <f>SUM(F22,L22,R22,X22,AD22,AL22,AT22,BB22,BJ22)</f>
        <v>7782</v>
      </c>
      <c r="CH22" s="179">
        <f t="shared" si="4"/>
        <v>119</v>
      </c>
      <c r="CI22" s="183">
        <f t="shared" si="5"/>
        <v>455.24700000000001</v>
      </c>
      <c r="CJ22">
        <f t="shared" si="10"/>
        <v>3.8256050420168068</v>
      </c>
    </row>
    <row r="23" spans="1:88">
      <c r="A23" s="177" t="s">
        <v>246</v>
      </c>
      <c r="B23" s="178">
        <v>82870</v>
      </c>
      <c r="C23" s="178">
        <v>834</v>
      </c>
      <c r="D23" s="178">
        <v>31929</v>
      </c>
      <c r="E23" s="178">
        <v>437</v>
      </c>
      <c r="F23" s="178">
        <v>1756</v>
      </c>
      <c r="G23" s="178">
        <v>20</v>
      </c>
      <c r="H23" s="178">
        <v>107438</v>
      </c>
      <c r="I23" s="178">
        <v>1103</v>
      </c>
      <c r="J23" s="178">
        <v>46606</v>
      </c>
      <c r="K23" s="178">
        <v>678</v>
      </c>
      <c r="L23" s="178">
        <v>2736</v>
      </c>
      <c r="M23" s="178">
        <v>34</v>
      </c>
      <c r="N23" s="178">
        <v>101936</v>
      </c>
      <c r="O23" s="178">
        <v>1032</v>
      </c>
      <c r="P23" s="178">
        <v>39823</v>
      </c>
      <c r="Q23" s="178">
        <v>619</v>
      </c>
      <c r="R23" s="178">
        <v>1486</v>
      </c>
      <c r="S23" s="178">
        <v>23</v>
      </c>
      <c r="T23" s="178">
        <v>96067</v>
      </c>
      <c r="U23" s="178">
        <v>970</v>
      </c>
      <c r="V23" s="178">
        <v>38853</v>
      </c>
      <c r="W23" s="178">
        <v>596</v>
      </c>
      <c r="X23" s="178">
        <v>2002</v>
      </c>
      <c r="Y23" s="178">
        <v>27</v>
      </c>
      <c r="Z23" s="178">
        <v>99524</v>
      </c>
      <c r="AA23" s="178">
        <v>1009</v>
      </c>
      <c r="AB23" s="178">
        <v>37024</v>
      </c>
      <c r="AC23" s="178">
        <v>535</v>
      </c>
      <c r="AD23" s="178">
        <v>1817</v>
      </c>
      <c r="AE23" s="178">
        <v>27</v>
      </c>
      <c r="AF23" s="178"/>
      <c r="AG23" s="178"/>
      <c r="AH23" s="178">
        <v>97923</v>
      </c>
      <c r="AI23" s="178">
        <v>1018</v>
      </c>
      <c r="AJ23" s="178">
        <v>34146</v>
      </c>
      <c r="AK23" s="178">
        <v>526</v>
      </c>
      <c r="AL23" s="178">
        <v>2008</v>
      </c>
      <c r="AM23" s="178">
        <v>27</v>
      </c>
      <c r="AN23" s="178"/>
      <c r="AO23" s="178"/>
      <c r="AP23" s="178">
        <v>94341</v>
      </c>
      <c r="AQ23" s="178">
        <v>983</v>
      </c>
      <c r="AR23" s="178">
        <v>37089</v>
      </c>
      <c r="AS23" s="178">
        <v>585</v>
      </c>
      <c r="AT23" s="178">
        <v>1788</v>
      </c>
      <c r="AU23" s="178">
        <v>28</v>
      </c>
      <c r="AV23" s="178"/>
      <c r="AW23" s="178"/>
      <c r="AX23" s="178">
        <v>104382</v>
      </c>
      <c r="AY23" s="178">
        <v>1116</v>
      </c>
      <c r="AZ23" s="178">
        <v>33426</v>
      </c>
      <c r="BA23" s="178">
        <v>540</v>
      </c>
      <c r="BB23" s="178">
        <v>1788</v>
      </c>
      <c r="BC23" s="178">
        <v>25</v>
      </c>
      <c r="BD23" s="178"/>
      <c r="BE23" s="178"/>
      <c r="BF23" s="178">
        <v>144984</v>
      </c>
      <c r="BG23" s="178">
        <v>1628</v>
      </c>
      <c r="BH23" s="178">
        <v>47305</v>
      </c>
      <c r="BI23" s="178">
        <v>821</v>
      </c>
      <c r="BJ23" s="178">
        <v>1716</v>
      </c>
      <c r="BK23" s="178">
        <v>29</v>
      </c>
      <c r="BL23" s="178"/>
      <c r="BM23" s="178"/>
      <c r="BP23" s="222">
        <f t="shared" si="6"/>
        <v>103942.75</v>
      </c>
      <c r="BQ23" s="177"/>
      <c r="BR23" s="222">
        <f t="shared" si="7"/>
        <v>39006.875</v>
      </c>
      <c r="BS23" s="177"/>
      <c r="BT23" s="222">
        <f t="shared" si="8"/>
        <v>1886.125</v>
      </c>
      <c r="BU23" s="177"/>
      <c r="BV23" s="222"/>
      <c r="BX23">
        <v>6.4500000000000002E-2</v>
      </c>
      <c r="BY23" s="179">
        <f t="shared" si="9"/>
        <v>929465</v>
      </c>
      <c r="BZ23" s="179">
        <f t="shared" si="0"/>
        <v>9693</v>
      </c>
      <c r="CA23" s="183">
        <f t="shared" si="11"/>
        <v>59950.4925</v>
      </c>
      <c r="CB23" s="183">
        <f t="shared" si="1"/>
        <v>6.1849264933457135</v>
      </c>
      <c r="CC23" s="179">
        <f>SUM(D23,J23,P23,V23,AB23,AJ23,AR23,AZ23,BH23)</f>
        <v>346201</v>
      </c>
      <c r="CD23" s="179">
        <f t="shared" si="2"/>
        <v>5337</v>
      </c>
      <c r="CE23" s="183">
        <f>BX23*CC23</f>
        <v>22329.964500000002</v>
      </c>
      <c r="CF23" s="183">
        <f t="shared" si="3"/>
        <v>4.1839918493535695</v>
      </c>
      <c r="CG23" s="179">
        <f>SUM(F23,L23,R23,X23,AD23,AL23,AT23,BB23,BJ23)</f>
        <v>17097</v>
      </c>
      <c r="CH23" s="179">
        <f t="shared" si="4"/>
        <v>240</v>
      </c>
      <c r="CI23" s="183">
        <f t="shared" si="5"/>
        <v>1102.7565</v>
      </c>
      <c r="CJ23">
        <f t="shared" si="10"/>
        <v>4.59481875</v>
      </c>
    </row>
    <row r="24" spans="1:88">
      <c r="A24" s="177" t="s">
        <v>247</v>
      </c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>
        <v>2578</v>
      </c>
      <c r="O24" s="178">
        <v>19</v>
      </c>
      <c r="P24" s="178"/>
      <c r="Q24" s="178"/>
      <c r="R24" s="178"/>
      <c r="S24" s="178"/>
      <c r="T24" s="178">
        <v>22588</v>
      </c>
      <c r="U24" s="178">
        <v>162</v>
      </c>
      <c r="V24" s="178">
        <v>14138</v>
      </c>
      <c r="W24" s="178">
        <v>144</v>
      </c>
      <c r="X24" s="178">
        <v>568</v>
      </c>
      <c r="Y24" s="178">
        <v>5</v>
      </c>
      <c r="Z24" s="178">
        <v>38437</v>
      </c>
      <c r="AA24" s="178">
        <v>282</v>
      </c>
      <c r="AB24" s="178">
        <v>27977</v>
      </c>
      <c r="AC24" s="178">
        <v>287</v>
      </c>
      <c r="AD24" s="178">
        <v>990</v>
      </c>
      <c r="AE24" s="178">
        <v>8</v>
      </c>
      <c r="AF24" s="178"/>
      <c r="AG24" s="178"/>
      <c r="AH24" s="178">
        <v>57606</v>
      </c>
      <c r="AI24" s="178">
        <v>385</v>
      </c>
      <c r="AJ24" s="178">
        <v>34193</v>
      </c>
      <c r="AK24" s="178">
        <v>329</v>
      </c>
      <c r="AL24" s="178">
        <v>894</v>
      </c>
      <c r="AM24" s="178">
        <v>7</v>
      </c>
      <c r="AN24" s="178"/>
      <c r="AO24" s="178"/>
      <c r="AP24" s="178">
        <v>74528</v>
      </c>
      <c r="AQ24" s="178">
        <v>520</v>
      </c>
      <c r="AR24" s="178">
        <v>49231</v>
      </c>
      <c r="AS24" s="178">
        <v>476</v>
      </c>
      <c r="AT24" s="178">
        <v>1982</v>
      </c>
      <c r="AU24" s="178">
        <v>16</v>
      </c>
      <c r="AV24" s="178"/>
      <c r="AW24" s="178"/>
      <c r="AX24" s="178">
        <v>52265</v>
      </c>
      <c r="AY24" s="178">
        <v>355</v>
      </c>
      <c r="AZ24" s="178">
        <v>36011</v>
      </c>
      <c r="BA24" s="178">
        <v>371</v>
      </c>
      <c r="BB24" s="178">
        <v>1322</v>
      </c>
      <c r="BC24" s="178">
        <v>13</v>
      </c>
      <c r="BD24" s="178"/>
      <c r="BE24" s="178"/>
      <c r="BF24" s="178">
        <v>36432</v>
      </c>
      <c r="BG24" s="178">
        <v>274</v>
      </c>
      <c r="BH24" s="178">
        <v>24010</v>
      </c>
      <c r="BI24" s="178">
        <v>218</v>
      </c>
      <c r="BJ24" s="178">
        <v>728</v>
      </c>
      <c r="BK24" s="178">
        <v>7</v>
      </c>
      <c r="BL24" s="178"/>
      <c r="BM24" s="178"/>
      <c r="BP24" s="222">
        <f t="shared" si="6"/>
        <v>37804.666666666664</v>
      </c>
      <c r="BQ24" s="177"/>
      <c r="BR24" s="222">
        <f t="shared" si="7"/>
        <v>30273.4</v>
      </c>
      <c r="BS24" s="177"/>
      <c r="BT24" s="222">
        <f t="shared" si="8"/>
        <v>1118</v>
      </c>
      <c r="BU24" s="177"/>
      <c r="BV24" s="222"/>
      <c r="BX24">
        <v>4.4999999999999998E-2</v>
      </c>
      <c r="BY24" s="179">
        <f t="shared" si="9"/>
        <v>284434</v>
      </c>
      <c r="BZ24" s="179">
        <f t="shared" si="0"/>
        <v>1997</v>
      </c>
      <c r="CA24" s="183">
        <f t="shared" si="11"/>
        <v>12799.529999999999</v>
      </c>
      <c r="CB24" s="183">
        <f t="shared" si="1"/>
        <v>6.4093790686029042</v>
      </c>
      <c r="CC24" s="179">
        <f>SUM(D24,J24,P24,V24,AB24,AJ24,AR24,AZ24,BH24)</f>
        <v>185560</v>
      </c>
      <c r="CD24" s="179">
        <f t="shared" si="2"/>
        <v>1825</v>
      </c>
      <c r="CE24" s="183">
        <f>BX24*CC24</f>
        <v>8350.1999999999989</v>
      </c>
      <c r="CF24" s="183">
        <f t="shared" si="3"/>
        <v>4.5754520547945203</v>
      </c>
      <c r="CG24" s="179">
        <f>SUM(F24,L24,R24,X24,AD24,AL24,AT24,BB24,BJ24)</f>
        <v>6484</v>
      </c>
      <c r="CH24" s="179">
        <f t="shared" si="4"/>
        <v>56</v>
      </c>
      <c r="CI24" s="183">
        <f t="shared" si="5"/>
        <v>291.77999999999997</v>
      </c>
      <c r="CJ24">
        <f t="shared" si="10"/>
        <v>5.2103571428571422</v>
      </c>
    </row>
    <row r="25" spans="1:88">
      <c r="A25" s="177" t="s">
        <v>248</v>
      </c>
      <c r="B25" s="178">
        <v>31740</v>
      </c>
      <c r="C25" s="178">
        <v>279</v>
      </c>
      <c r="D25" s="178">
        <v>23720</v>
      </c>
      <c r="E25" s="178">
        <v>265</v>
      </c>
      <c r="F25" s="178">
        <v>1328</v>
      </c>
      <c r="G25" s="178">
        <v>18</v>
      </c>
      <c r="H25" s="178">
        <v>39100</v>
      </c>
      <c r="I25" s="178">
        <v>330</v>
      </c>
      <c r="J25" s="178">
        <v>30839</v>
      </c>
      <c r="K25" s="178">
        <v>388</v>
      </c>
      <c r="L25" s="178">
        <v>2863</v>
      </c>
      <c r="M25" s="178">
        <v>26</v>
      </c>
      <c r="N25" s="178">
        <v>40894</v>
      </c>
      <c r="O25" s="178">
        <v>349</v>
      </c>
      <c r="P25" s="178">
        <v>26414</v>
      </c>
      <c r="Q25" s="178">
        <v>351</v>
      </c>
      <c r="R25" s="178">
        <v>1662</v>
      </c>
      <c r="S25" s="178">
        <v>24</v>
      </c>
      <c r="T25" s="178">
        <v>36302</v>
      </c>
      <c r="U25" s="178">
        <v>313</v>
      </c>
      <c r="V25" s="178">
        <v>29004</v>
      </c>
      <c r="W25" s="178">
        <v>347</v>
      </c>
      <c r="X25" s="178">
        <v>2402</v>
      </c>
      <c r="Y25" s="178">
        <v>27</v>
      </c>
      <c r="Z25" s="178">
        <v>42568</v>
      </c>
      <c r="AA25" s="178">
        <v>361</v>
      </c>
      <c r="AB25" s="178">
        <v>29387</v>
      </c>
      <c r="AC25" s="178">
        <v>354</v>
      </c>
      <c r="AD25" s="178">
        <v>2745</v>
      </c>
      <c r="AE25" s="178">
        <v>27</v>
      </c>
      <c r="AF25" s="178"/>
      <c r="AG25" s="178"/>
      <c r="AH25" s="178">
        <v>40764</v>
      </c>
      <c r="AI25" s="178">
        <v>344</v>
      </c>
      <c r="AJ25" s="178">
        <v>30687</v>
      </c>
      <c r="AK25" s="178">
        <v>372</v>
      </c>
      <c r="AL25" s="178">
        <v>2872</v>
      </c>
      <c r="AM25" s="178">
        <v>32</v>
      </c>
      <c r="AN25" s="178"/>
      <c r="AO25" s="178"/>
      <c r="AP25" s="178">
        <v>41833</v>
      </c>
      <c r="AQ25" s="178">
        <v>349</v>
      </c>
      <c r="AR25" s="178">
        <v>31765</v>
      </c>
      <c r="AS25" s="178">
        <v>389</v>
      </c>
      <c r="AT25" s="178">
        <v>2920</v>
      </c>
      <c r="AU25" s="178">
        <v>35</v>
      </c>
      <c r="AV25" s="178"/>
      <c r="AW25" s="178"/>
      <c r="AX25" s="178">
        <v>43911</v>
      </c>
      <c r="AY25" s="178">
        <v>360</v>
      </c>
      <c r="AZ25" s="178">
        <v>30843</v>
      </c>
      <c r="BA25" s="178">
        <v>384</v>
      </c>
      <c r="BB25" s="178">
        <v>1801</v>
      </c>
      <c r="BC25" s="178">
        <v>20</v>
      </c>
      <c r="BD25" s="178"/>
      <c r="BE25" s="178"/>
      <c r="BF25" s="178">
        <v>50888</v>
      </c>
      <c r="BG25" s="178">
        <v>427</v>
      </c>
      <c r="BH25" s="178">
        <v>36101</v>
      </c>
      <c r="BI25" s="178">
        <v>464</v>
      </c>
      <c r="BJ25" s="178">
        <v>4373</v>
      </c>
      <c r="BK25" s="178">
        <v>46</v>
      </c>
      <c r="BL25" s="178"/>
      <c r="BM25" s="178"/>
      <c r="BP25" s="222">
        <f t="shared" si="6"/>
        <v>40904.5</v>
      </c>
      <c r="BQ25" s="177"/>
      <c r="BR25" s="222">
        <f t="shared" si="7"/>
        <v>29759.125</v>
      </c>
      <c r="BS25" s="177"/>
      <c r="BT25" s="222">
        <f t="shared" si="8"/>
        <v>2511.75</v>
      </c>
      <c r="BU25" s="177"/>
      <c r="BV25" s="222"/>
      <c r="BX25">
        <v>6.6000000000000003E-2</v>
      </c>
      <c r="BY25" s="179">
        <f t="shared" si="9"/>
        <v>368000</v>
      </c>
      <c r="BZ25" s="179">
        <f t="shared" si="0"/>
        <v>3112</v>
      </c>
      <c r="CA25" s="183">
        <f t="shared" si="11"/>
        <v>24288</v>
      </c>
      <c r="CB25" s="183">
        <f t="shared" si="1"/>
        <v>7.8046272493573268</v>
      </c>
      <c r="CC25" s="179">
        <f>SUM(D25,J25,P25,V25,AB25,AJ25,AR25,AZ25,BH25)</f>
        <v>268760</v>
      </c>
      <c r="CD25" s="179">
        <f t="shared" si="2"/>
        <v>3314</v>
      </c>
      <c r="CE25" s="183">
        <f>BX25*CC25</f>
        <v>17738.16</v>
      </c>
      <c r="CF25" s="183">
        <f t="shared" si="3"/>
        <v>5.3524924562462282</v>
      </c>
      <c r="CG25" s="179">
        <f>SUM(F25,L25,R25,X25,AD25,AL25,AT25,BB25,BJ25)</f>
        <v>22966</v>
      </c>
      <c r="CH25" s="179">
        <f t="shared" si="4"/>
        <v>255</v>
      </c>
      <c r="CI25" s="183">
        <f t="shared" si="5"/>
        <v>1515.7560000000001</v>
      </c>
      <c r="CJ25">
        <f t="shared" si="10"/>
        <v>5.9441411764705885</v>
      </c>
    </row>
    <row r="26" spans="1:88">
      <c r="A26" s="177" t="s">
        <v>249</v>
      </c>
      <c r="B26" s="178">
        <v>66271</v>
      </c>
      <c r="C26" s="178">
        <v>580</v>
      </c>
      <c r="D26" s="178">
        <v>28393</v>
      </c>
      <c r="E26" s="178">
        <v>363</v>
      </c>
      <c r="F26" s="178">
        <v>2355</v>
      </c>
      <c r="G26" s="178">
        <v>29</v>
      </c>
      <c r="H26" s="178">
        <v>78400</v>
      </c>
      <c r="I26" s="178">
        <v>675</v>
      </c>
      <c r="J26" s="178">
        <v>37609</v>
      </c>
      <c r="K26" s="178">
        <v>577</v>
      </c>
      <c r="L26" s="178">
        <v>2237</v>
      </c>
      <c r="M26" s="178">
        <v>36</v>
      </c>
      <c r="N26" s="178">
        <v>74984</v>
      </c>
      <c r="O26" s="178">
        <v>686</v>
      </c>
      <c r="P26" s="178">
        <v>30453</v>
      </c>
      <c r="Q26" s="178">
        <v>507</v>
      </c>
      <c r="R26" s="178">
        <v>1815</v>
      </c>
      <c r="S26" s="178">
        <v>30</v>
      </c>
      <c r="T26" s="178">
        <v>70285</v>
      </c>
      <c r="U26" s="178">
        <v>636</v>
      </c>
      <c r="V26" s="178">
        <v>33879</v>
      </c>
      <c r="W26" s="178">
        <v>531</v>
      </c>
      <c r="X26" s="178">
        <v>2866</v>
      </c>
      <c r="Y26" s="178">
        <v>39</v>
      </c>
      <c r="Z26" s="178">
        <v>79958</v>
      </c>
      <c r="AA26" s="178">
        <v>700</v>
      </c>
      <c r="AB26" s="178">
        <v>34351</v>
      </c>
      <c r="AC26" s="178">
        <v>523</v>
      </c>
      <c r="AD26" s="178">
        <v>3295</v>
      </c>
      <c r="AE26" s="178">
        <v>42</v>
      </c>
      <c r="AF26" s="178"/>
      <c r="AG26" s="178"/>
      <c r="AH26" s="178">
        <v>75251</v>
      </c>
      <c r="AI26" s="178">
        <v>696</v>
      </c>
      <c r="AJ26" s="178">
        <v>35937</v>
      </c>
      <c r="AK26" s="178">
        <v>562</v>
      </c>
      <c r="AL26" s="178">
        <v>3052</v>
      </c>
      <c r="AM26" s="178">
        <v>46</v>
      </c>
      <c r="AN26" s="178"/>
      <c r="AO26" s="178"/>
      <c r="AP26" s="178">
        <v>83579</v>
      </c>
      <c r="AQ26" s="178">
        <v>754</v>
      </c>
      <c r="AR26" s="178">
        <v>37691</v>
      </c>
      <c r="AS26" s="178">
        <v>617</v>
      </c>
      <c r="AT26" s="178">
        <v>3117</v>
      </c>
      <c r="AU26" s="178">
        <v>45</v>
      </c>
      <c r="AV26" s="178"/>
      <c r="AW26" s="178"/>
      <c r="AX26" s="178">
        <v>83405</v>
      </c>
      <c r="AY26" s="178">
        <v>739</v>
      </c>
      <c r="AZ26" s="178">
        <v>36837</v>
      </c>
      <c r="BA26" s="178">
        <v>614</v>
      </c>
      <c r="BB26" s="178">
        <v>2152</v>
      </c>
      <c r="BC26" s="178">
        <v>34</v>
      </c>
      <c r="BD26" s="178"/>
      <c r="BE26" s="178"/>
      <c r="BF26" s="178">
        <v>102392</v>
      </c>
      <c r="BG26" s="178">
        <v>920</v>
      </c>
      <c r="BH26" s="178">
        <v>44129</v>
      </c>
      <c r="BI26" s="178">
        <v>732</v>
      </c>
      <c r="BJ26" s="178">
        <v>3954</v>
      </c>
      <c r="BK26" s="178">
        <v>65</v>
      </c>
      <c r="BL26" s="178"/>
      <c r="BM26" s="178"/>
      <c r="BP26" s="222">
        <f t="shared" si="6"/>
        <v>79909.25</v>
      </c>
      <c r="BQ26" s="177"/>
      <c r="BR26" s="222">
        <f t="shared" si="7"/>
        <v>35417.75</v>
      </c>
      <c r="BS26" s="177"/>
      <c r="BT26" s="222">
        <f t="shared" si="8"/>
        <v>2723.875</v>
      </c>
      <c r="BU26" s="177"/>
      <c r="BV26" s="222"/>
      <c r="BX26">
        <v>0.1205</v>
      </c>
      <c r="BY26" s="179">
        <f t="shared" si="9"/>
        <v>714525</v>
      </c>
      <c r="BZ26" s="179">
        <f t="shared" si="0"/>
        <v>6386</v>
      </c>
      <c r="CA26" s="183">
        <f t="shared" si="11"/>
        <v>86100.262499999997</v>
      </c>
      <c r="CB26" s="183">
        <f t="shared" si="1"/>
        <v>13.482659332915754</v>
      </c>
      <c r="CC26" s="179">
        <f>SUM(D26,J26,P26,V26,AB26,AJ26,AR26,AZ26,BH26)</f>
        <v>319279</v>
      </c>
      <c r="CD26" s="179">
        <f t="shared" si="2"/>
        <v>5026</v>
      </c>
      <c r="CE26" s="183">
        <f>BX26*CC26</f>
        <v>38473.119500000001</v>
      </c>
      <c r="CF26" s="183">
        <f t="shared" si="3"/>
        <v>7.6548188420214887</v>
      </c>
      <c r="CG26" s="179">
        <f>SUM(F26,L26,R26,X26,AD26,AL26,AT26,BB26,BJ26)</f>
        <v>24843</v>
      </c>
      <c r="CH26" s="179">
        <f t="shared" si="4"/>
        <v>366</v>
      </c>
      <c r="CI26" s="183">
        <f t="shared" si="5"/>
        <v>2993.5814999999998</v>
      </c>
      <c r="CJ26">
        <f t="shared" si="10"/>
        <v>8.1791844262295079</v>
      </c>
    </row>
    <row r="27" spans="1:88">
      <c r="A27" s="177" t="s">
        <v>250</v>
      </c>
      <c r="B27" s="178">
        <v>46161</v>
      </c>
      <c r="C27" s="178">
        <v>507</v>
      </c>
      <c r="D27" s="178">
        <v>18649</v>
      </c>
      <c r="E27" s="178">
        <v>313</v>
      </c>
      <c r="F27" s="178">
        <v>1470</v>
      </c>
      <c r="G27" s="178">
        <v>24</v>
      </c>
      <c r="H27" s="178">
        <v>53537</v>
      </c>
      <c r="I27" s="178">
        <v>590</v>
      </c>
      <c r="J27" s="178">
        <v>25237</v>
      </c>
      <c r="K27" s="178">
        <v>451</v>
      </c>
      <c r="L27" s="178">
        <v>2190</v>
      </c>
      <c r="M27" s="178">
        <v>38</v>
      </c>
      <c r="N27" s="178">
        <v>52298</v>
      </c>
      <c r="O27" s="178">
        <v>577</v>
      </c>
      <c r="P27" s="178">
        <v>21894</v>
      </c>
      <c r="Q27" s="178">
        <v>430</v>
      </c>
      <c r="R27" s="178">
        <v>1509</v>
      </c>
      <c r="S27" s="178">
        <v>28</v>
      </c>
      <c r="T27" s="178">
        <v>39328</v>
      </c>
      <c r="U27" s="178">
        <v>438</v>
      </c>
      <c r="V27" s="178">
        <v>19391</v>
      </c>
      <c r="W27" s="178">
        <v>360</v>
      </c>
      <c r="X27" s="178">
        <v>1182</v>
      </c>
      <c r="Y27" s="178">
        <v>21</v>
      </c>
      <c r="Z27" s="178">
        <v>13633</v>
      </c>
      <c r="AA27" s="178">
        <v>158</v>
      </c>
      <c r="AB27" s="178">
        <v>5906</v>
      </c>
      <c r="AC27" s="178">
        <v>112</v>
      </c>
      <c r="AD27" s="178">
        <v>492</v>
      </c>
      <c r="AE27" s="178">
        <v>9</v>
      </c>
      <c r="AF27" s="178"/>
      <c r="AG27" s="178"/>
      <c r="AH27" s="178">
        <v>2912</v>
      </c>
      <c r="AI27" s="178">
        <v>35</v>
      </c>
      <c r="AJ27" s="178">
        <v>1518</v>
      </c>
      <c r="AK27" s="178">
        <v>34</v>
      </c>
      <c r="AL27" s="178">
        <v>106</v>
      </c>
      <c r="AM27" s="178">
        <v>2</v>
      </c>
      <c r="AN27" s="178"/>
      <c r="AO27" s="178"/>
      <c r="AP27" s="178">
        <v>866</v>
      </c>
      <c r="AQ27" s="178">
        <v>11</v>
      </c>
      <c r="AR27" s="178">
        <v>929</v>
      </c>
      <c r="AS27" s="178">
        <v>22</v>
      </c>
      <c r="AT27" s="178">
        <v>43</v>
      </c>
      <c r="AU27" s="178">
        <v>2</v>
      </c>
      <c r="AV27" s="178"/>
      <c r="AW27" s="178"/>
      <c r="AX27" s="178">
        <v>521</v>
      </c>
      <c r="AY27" s="178">
        <v>7</v>
      </c>
      <c r="AZ27" s="178">
        <v>434</v>
      </c>
      <c r="BA27" s="178">
        <v>9</v>
      </c>
      <c r="BB27" s="178"/>
      <c r="BC27" s="178"/>
      <c r="BD27" s="178"/>
      <c r="BE27" s="178"/>
      <c r="BF27" s="178">
        <v>436</v>
      </c>
      <c r="BG27" s="178">
        <v>6</v>
      </c>
      <c r="BH27" s="178">
        <v>368</v>
      </c>
      <c r="BI27" s="178">
        <v>5</v>
      </c>
      <c r="BJ27" s="178">
        <v>4</v>
      </c>
      <c r="BK27" s="178">
        <v>1</v>
      </c>
      <c r="BL27" s="178"/>
      <c r="BM27" s="178"/>
      <c r="BP27" s="222">
        <f t="shared" si="6"/>
        <v>25847.5</v>
      </c>
      <c r="BQ27" s="177"/>
      <c r="BR27" s="222">
        <f t="shared" si="7"/>
        <v>11601</v>
      </c>
      <c r="BS27" s="177"/>
      <c r="BT27" s="222"/>
      <c r="BU27" s="177"/>
      <c r="BV27" s="222"/>
      <c r="BX27">
        <v>0.155</v>
      </c>
      <c r="BY27" s="179">
        <f t="shared" si="9"/>
        <v>209692</v>
      </c>
      <c r="BZ27" s="179">
        <f t="shared" si="0"/>
        <v>2329</v>
      </c>
      <c r="CA27" s="183">
        <f t="shared" si="11"/>
        <v>32502.26</v>
      </c>
      <c r="CB27" s="183">
        <f t="shared" si="1"/>
        <v>13.955457277801631</v>
      </c>
      <c r="CC27" s="179">
        <f>SUM(D27,J27,P27,V27,AB27,AJ27,AR27,AZ27,BH27)</f>
        <v>94326</v>
      </c>
      <c r="CD27" s="179">
        <f t="shared" si="2"/>
        <v>1736</v>
      </c>
      <c r="CE27" s="183">
        <f>BX27*CC27</f>
        <v>14620.53</v>
      </c>
      <c r="CF27" s="183">
        <f t="shared" si="3"/>
        <v>8.4219642857142869</v>
      </c>
      <c r="CG27" s="179">
        <f>SUM(F27,L27,R27,X27,AD27,AL27,AT27,BB27,BJ27)</f>
        <v>6996</v>
      </c>
      <c r="CH27" s="179">
        <f t="shared" si="4"/>
        <v>125</v>
      </c>
      <c r="CI27" s="183">
        <f t="shared" si="5"/>
        <v>1084.3799999999999</v>
      </c>
      <c r="CJ27">
        <f t="shared" si="10"/>
        <v>8.6750399999999992</v>
      </c>
    </row>
    <row r="28" spans="1:88">
      <c r="A28" s="177" t="s">
        <v>251</v>
      </c>
      <c r="B28" s="178">
        <v>4314</v>
      </c>
      <c r="C28" s="178">
        <v>22</v>
      </c>
      <c r="D28" s="178">
        <v>2656</v>
      </c>
      <c r="E28" s="178">
        <v>22</v>
      </c>
      <c r="F28" s="178"/>
      <c r="G28" s="178"/>
      <c r="H28" s="178">
        <v>6507</v>
      </c>
      <c r="I28" s="178">
        <v>32</v>
      </c>
      <c r="J28" s="178">
        <v>4080</v>
      </c>
      <c r="K28" s="178">
        <v>31</v>
      </c>
      <c r="L28" s="178">
        <v>142</v>
      </c>
      <c r="M28" s="178">
        <v>2</v>
      </c>
      <c r="N28" s="178">
        <v>4798</v>
      </c>
      <c r="O28" s="178">
        <v>23</v>
      </c>
      <c r="P28" s="178">
        <v>2335</v>
      </c>
      <c r="Q28" s="178">
        <v>20</v>
      </c>
      <c r="R28" s="178"/>
      <c r="S28" s="178"/>
      <c r="T28" s="178">
        <v>6058</v>
      </c>
      <c r="U28" s="178">
        <v>29</v>
      </c>
      <c r="V28" s="178">
        <v>3347</v>
      </c>
      <c r="W28" s="178">
        <v>29</v>
      </c>
      <c r="X28" s="178"/>
      <c r="Y28" s="178"/>
      <c r="Z28" s="178">
        <v>3836</v>
      </c>
      <c r="AA28" s="178">
        <v>18</v>
      </c>
      <c r="AB28" s="178">
        <v>2923</v>
      </c>
      <c r="AC28" s="178">
        <v>27</v>
      </c>
      <c r="AD28" s="178">
        <v>125</v>
      </c>
      <c r="AE28" s="178">
        <v>1</v>
      </c>
      <c r="AF28" s="178"/>
      <c r="AG28" s="178"/>
      <c r="AH28" s="178">
        <v>6894</v>
      </c>
      <c r="AI28" s="178">
        <v>30</v>
      </c>
      <c r="AJ28" s="178">
        <v>3111</v>
      </c>
      <c r="AK28" s="178">
        <v>25</v>
      </c>
      <c r="AL28" s="178">
        <v>10</v>
      </c>
      <c r="AM28" s="178">
        <v>1</v>
      </c>
      <c r="AN28" s="178"/>
      <c r="AO28" s="178"/>
      <c r="AP28" s="178">
        <v>5192</v>
      </c>
      <c r="AQ28" s="178">
        <v>29</v>
      </c>
      <c r="AR28" s="178">
        <v>1898</v>
      </c>
      <c r="AS28" s="178">
        <v>22</v>
      </c>
      <c r="AT28" s="178"/>
      <c r="AU28" s="178"/>
      <c r="AV28" s="178"/>
      <c r="AW28" s="178"/>
      <c r="AX28" s="178">
        <v>3382</v>
      </c>
      <c r="AY28" s="178">
        <v>18</v>
      </c>
      <c r="AZ28" s="178">
        <v>2285</v>
      </c>
      <c r="BA28" s="178">
        <v>25</v>
      </c>
      <c r="BB28" s="178">
        <v>60</v>
      </c>
      <c r="BC28" s="178">
        <v>1</v>
      </c>
      <c r="BD28" s="178"/>
      <c r="BE28" s="178"/>
      <c r="BF28" s="178">
        <v>5174</v>
      </c>
      <c r="BG28" s="178">
        <v>24</v>
      </c>
      <c r="BH28" s="178">
        <v>2394</v>
      </c>
      <c r="BI28" s="178">
        <v>25</v>
      </c>
      <c r="BJ28" s="178">
        <v>50</v>
      </c>
      <c r="BK28" s="178">
        <v>1</v>
      </c>
      <c r="BL28" s="178"/>
      <c r="BM28" s="178"/>
      <c r="BP28" s="222"/>
      <c r="BQ28" s="177"/>
      <c r="BR28" s="222"/>
      <c r="BS28" s="177"/>
      <c r="BT28" s="222"/>
      <c r="BU28" s="177"/>
      <c r="BV28" s="222"/>
      <c r="BX28">
        <v>0.16520000000000001</v>
      </c>
      <c r="BY28" s="179">
        <f t="shared" si="9"/>
        <v>46155</v>
      </c>
      <c r="BZ28" s="179">
        <f t="shared" si="0"/>
        <v>225</v>
      </c>
      <c r="CA28" s="183">
        <f t="shared" si="11"/>
        <v>7624.8060000000005</v>
      </c>
      <c r="CB28" s="183">
        <f t="shared" si="1"/>
        <v>33.888026666666669</v>
      </c>
      <c r="CC28" s="179">
        <f>SUM(D28,J28,P28,V28,AB28,AJ28,AR28,AZ28,BH28)</f>
        <v>25029</v>
      </c>
      <c r="CD28" s="179">
        <f t="shared" si="2"/>
        <v>226</v>
      </c>
      <c r="CE28" s="183">
        <f>BX28*CC28</f>
        <v>4134.7908000000007</v>
      </c>
      <c r="CF28" s="183">
        <f t="shared" si="3"/>
        <v>18.29553451327434</v>
      </c>
      <c r="CG28" s="179">
        <f>SUM(F28,L28,R28,X28,AD28,AL28,AT28,BB28,BJ28)</f>
        <v>387</v>
      </c>
      <c r="CH28" s="179">
        <f t="shared" si="4"/>
        <v>6</v>
      </c>
      <c r="CI28" s="183">
        <f t="shared" si="5"/>
        <v>63.932400000000008</v>
      </c>
      <c r="CJ28">
        <f t="shared" si="10"/>
        <v>10.655400000000002</v>
      </c>
    </row>
    <row r="29" spans="1:88">
      <c r="A29" s="177" t="s">
        <v>252</v>
      </c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>
        <v>1546</v>
      </c>
      <c r="U29" s="178">
        <v>19</v>
      </c>
      <c r="V29" s="178">
        <v>568</v>
      </c>
      <c r="W29" s="178">
        <v>12</v>
      </c>
      <c r="X29" s="178"/>
      <c r="Y29" s="178"/>
      <c r="Z29" s="178">
        <v>9206</v>
      </c>
      <c r="AA29" s="178">
        <v>106</v>
      </c>
      <c r="AB29" s="178">
        <v>6120</v>
      </c>
      <c r="AC29" s="178">
        <v>92</v>
      </c>
      <c r="AD29" s="178">
        <v>596</v>
      </c>
      <c r="AE29" s="178">
        <v>9</v>
      </c>
      <c r="AF29" s="178"/>
      <c r="AG29" s="178"/>
      <c r="AH29" s="178">
        <v>9562</v>
      </c>
      <c r="AI29" s="178">
        <v>109</v>
      </c>
      <c r="AJ29" s="178">
        <v>9137</v>
      </c>
      <c r="AK29" s="178">
        <v>158</v>
      </c>
      <c r="AL29" s="178">
        <v>516</v>
      </c>
      <c r="AM29" s="178">
        <v>7</v>
      </c>
      <c r="AN29" s="178"/>
      <c r="AO29" s="178"/>
      <c r="AP29" s="178">
        <v>12554</v>
      </c>
      <c r="AQ29" s="178">
        <v>145</v>
      </c>
      <c r="AR29" s="178">
        <v>10118</v>
      </c>
      <c r="AS29" s="178">
        <v>177</v>
      </c>
      <c r="AT29" s="178">
        <v>1054</v>
      </c>
      <c r="AU29" s="178">
        <v>17</v>
      </c>
      <c r="AV29" s="178"/>
      <c r="AW29" s="178"/>
      <c r="AX29" s="178">
        <v>15586</v>
      </c>
      <c r="AY29" s="178">
        <v>176</v>
      </c>
      <c r="AZ29" s="178">
        <v>10983</v>
      </c>
      <c r="BA29" s="178">
        <v>192</v>
      </c>
      <c r="BB29" s="178">
        <v>716</v>
      </c>
      <c r="BC29" s="178">
        <v>12</v>
      </c>
      <c r="BD29" s="178"/>
      <c r="BE29" s="178"/>
      <c r="BF29" s="178">
        <v>20946</v>
      </c>
      <c r="BG29" s="178">
        <v>240</v>
      </c>
      <c r="BH29" s="178">
        <v>12303</v>
      </c>
      <c r="BI29" s="178">
        <v>222</v>
      </c>
      <c r="BJ29" s="178">
        <v>726</v>
      </c>
      <c r="BK29" s="178">
        <v>13</v>
      </c>
      <c r="BL29" s="178"/>
      <c r="BM29" s="178"/>
      <c r="BP29" s="222">
        <f t="shared" si="6"/>
        <v>11967.6</v>
      </c>
      <c r="BQ29" s="177"/>
      <c r="BR29" s="222">
        <f t="shared" si="7"/>
        <v>8018.4</v>
      </c>
      <c r="BS29" s="177"/>
      <c r="BT29" s="222"/>
      <c r="BU29" s="177"/>
      <c r="BV29" s="222"/>
      <c r="BX29">
        <v>0.08</v>
      </c>
      <c r="BY29" s="179">
        <f t="shared" si="9"/>
        <v>69400</v>
      </c>
      <c r="BZ29" s="179">
        <f t="shared" si="0"/>
        <v>795</v>
      </c>
      <c r="CA29" s="183">
        <f t="shared" si="11"/>
        <v>5552</v>
      </c>
      <c r="CB29" s="183">
        <f t="shared" si="1"/>
        <v>6.9836477987421386</v>
      </c>
      <c r="CC29" s="179">
        <f>SUM(D29,J29,P29,V29,AB29,AJ29,AR29,AZ29,BH29)</f>
        <v>49229</v>
      </c>
      <c r="CD29" s="179">
        <f t="shared" si="2"/>
        <v>853</v>
      </c>
      <c r="CE29" s="183">
        <f>BX29*CC29</f>
        <v>3938.32</v>
      </c>
      <c r="CF29" s="183">
        <f t="shared" si="3"/>
        <v>4.6170222743259091</v>
      </c>
      <c r="CG29" s="179">
        <f>SUM(F29,L29,R29,X29,AD29,AL29,AT29,BB29,BJ29)</f>
        <v>3608</v>
      </c>
      <c r="CH29" s="179">
        <f t="shared" si="4"/>
        <v>58</v>
      </c>
      <c r="CI29" s="183">
        <f t="shared" si="5"/>
        <v>288.64</v>
      </c>
      <c r="CJ29">
        <f t="shared" si="10"/>
        <v>4.9765517241379307</v>
      </c>
    </row>
    <row r="30" spans="1:88">
      <c r="A30" s="177" t="s">
        <v>253</v>
      </c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>
        <v>9724</v>
      </c>
      <c r="U30" s="178">
        <v>105</v>
      </c>
      <c r="V30" s="178">
        <v>6719</v>
      </c>
      <c r="W30" s="178">
        <v>94</v>
      </c>
      <c r="X30" s="178">
        <v>458</v>
      </c>
      <c r="Y30" s="178">
        <v>7</v>
      </c>
      <c r="Z30" s="178">
        <v>49682</v>
      </c>
      <c r="AA30" s="178">
        <v>544</v>
      </c>
      <c r="AB30" s="178">
        <v>33227</v>
      </c>
      <c r="AC30" s="178">
        <v>473</v>
      </c>
      <c r="AD30" s="178">
        <v>1975</v>
      </c>
      <c r="AE30" s="178">
        <v>29</v>
      </c>
      <c r="AF30" s="178"/>
      <c r="AG30" s="178"/>
      <c r="AH30" s="178">
        <v>76312</v>
      </c>
      <c r="AI30" s="178">
        <v>833</v>
      </c>
      <c r="AJ30" s="178">
        <v>52879</v>
      </c>
      <c r="AK30" s="178">
        <v>825</v>
      </c>
      <c r="AL30" s="178">
        <v>2390</v>
      </c>
      <c r="AM30" s="178">
        <v>44</v>
      </c>
      <c r="AN30" s="178"/>
      <c r="AO30" s="178"/>
      <c r="AP30" s="178">
        <v>80416</v>
      </c>
      <c r="AQ30" s="178">
        <v>885</v>
      </c>
      <c r="AR30" s="178">
        <v>69451</v>
      </c>
      <c r="AS30" s="178">
        <v>1125</v>
      </c>
      <c r="AT30" s="178">
        <v>3503</v>
      </c>
      <c r="AU30" s="178">
        <v>59</v>
      </c>
      <c r="AV30" s="178"/>
      <c r="AW30" s="178"/>
      <c r="AX30" s="178">
        <v>89994</v>
      </c>
      <c r="AY30" s="178">
        <v>984</v>
      </c>
      <c r="AZ30" s="178">
        <v>67095</v>
      </c>
      <c r="BA30" s="178">
        <v>1081</v>
      </c>
      <c r="BB30" s="178">
        <v>3019</v>
      </c>
      <c r="BC30" s="178">
        <v>49</v>
      </c>
      <c r="BD30" s="178"/>
      <c r="BE30" s="178"/>
      <c r="BF30" s="178">
        <v>136588</v>
      </c>
      <c r="BG30" s="178">
        <v>1496</v>
      </c>
      <c r="BH30" s="178">
        <v>91502</v>
      </c>
      <c r="BI30" s="178">
        <v>1438</v>
      </c>
      <c r="BJ30" s="178">
        <v>4608</v>
      </c>
      <c r="BK30" s="178">
        <v>74</v>
      </c>
      <c r="BL30" s="178"/>
      <c r="BM30" s="178"/>
      <c r="BP30" s="222">
        <f t="shared" si="6"/>
        <v>73280.800000000003</v>
      </c>
      <c r="BQ30" s="177"/>
      <c r="BR30" s="222">
        <f t="shared" si="7"/>
        <v>53598.8</v>
      </c>
      <c r="BS30" s="177"/>
      <c r="BT30" s="222">
        <f t="shared" si="8"/>
        <v>2712.6</v>
      </c>
      <c r="BU30" s="177"/>
      <c r="BV30" s="222"/>
      <c r="BX30">
        <v>7.0000000000000007E-2</v>
      </c>
      <c r="BY30" s="179">
        <f t="shared" si="9"/>
        <v>442716</v>
      </c>
      <c r="BZ30" s="179">
        <f t="shared" si="0"/>
        <v>4847</v>
      </c>
      <c r="CA30" s="183">
        <f t="shared" si="11"/>
        <v>30990.120000000003</v>
      </c>
      <c r="CB30" s="183">
        <f t="shared" si="1"/>
        <v>6.3936703115329072</v>
      </c>
      <c r="CC30" s="179">
        <f>SUM(D30,J30,P30,V30,AB30,AJ30,AR30,AZ30,BH30)</f>
        <v>320873</v>
      </c>
      <c r="CD30" s="179">
        <f t="shared" si="2"/>
        <v>5036</v>
      </c>
      <c r="CE30" s="183">
        <f>BX30*CC30</f>
        <v>22461.11</v>
      </c>
      <c r="CF30" s="183">
        <f t="shared" si="3"/>
        <v>4.460109213661636</v>
      </c>
      <c r="CG30" s="179">
        <f>SUM(F30,L30,R30,X30,AD30,AL30,AT30,BB30,BJ30)</f>
        <v>15953</v>
      </c>
      <c r="CH30" s="179">
        <f t="shared" si="4"/>
        <v>262</v>
      </c>
      <c r="CI30" s="183">
        <f t="shared" si="5"/>
        <v>1116.71</v>
      </c>
      <c r="CJ30">
        <f t="shared" si="10"/>
        <v>4.262251908396947</v>
      </c>
    </row>
    <row r="31" spans="1:88">
      <c r="A31" s="177" t="s">
        <v>46</v>
      </c>
      <c r="B31" s="178">
        <v>18474</v>
      </c>
      <c r="C31" s="178">
        <v>184</v>
      </c>
      <c r="D31" s="178">
        <v>11672</v>
      </c>
      <c r="E31" s="178">
        <v>186</v>
      </c>
      <c r="F31" s="178">
        <v>861</v>
      </c>
      <c r="G31" s="178">
        <v>12</v>
      </c>
      <c r="H31" s="178">
        <v>25093</v>
      </c>
      <c r="I31" s="178">
        <v>238</v>
      </c>
      <c r="J31" s="178">
        <v>14421</v>
      </c>
      <c r="K31" s="178">
        <v>256</v>
      </c>
      <c r="L31" s="178">
        <v>559</v>
      </c>
      <c r="M31" s="178">
        <v>12</v>
      </c>
      <c r="N31" s="178">
        <v>24022</v>
      </c>
      <c r="O31" s="178">
        <v>230</v>
      </c>
      <c r="P31" s="178">
        <v>13378</v>
      </c>
      <c r="Q31" s="178">
        <v>250</v>
      </c>
      <c r="R31" s="178">
        <v>922</v>
      </c>
      <c r="S31" s="178">
        <v>14</v>
      </c>
      <c r="T31" s="178">
        <v>22346</v>
      </c>
      <c r="U31" s="178">
        <v>222</v>
      </c>
      <c r="V31" s="178">
        <v>14004</v>
      </c>
      <c r="W31" s="178">
        <v>255</v>
      </c>
      <c r="X31" s="178">
        <v>778</v>
      </c>
      <c r="Y31" s="178">
        <v>16</v>
      </c>
      <c r="Z31" s="178">
        <v>25114</v>
      </c>
      <c r="AA31" s="178">
        <v>249</v>
      </c>
      <c r="AB31" s="178">
        <v>13003</v>
      </c>
      <c r="AC31" s="178">
        <v>239</v>
      </c>
      <c r="AD31" s="178">
        <v>390</v>
      </c>
      <c r="AE31" s="178">
        <v>8</v>
      </c>
      <c r="AF31" s="178"/>
      <c r="AG31" s="178"/>
      <c r="AH31" s="178">
        <v>21254</v>
      </c>
      <c r="AI31" s="178">
        <v>217</v>
      </c>
      <c r="AJ31" s="178">
        <v>14778</v>
      </c>
      <c r="AK31" s="178">
        <v>262</v>
      </c>
      <c r="AL31" s="178">
        <v>1058</v>
      </c>
      <c r="AM31" s="178">
        <v>13</v>
      </c>
      <c r="AN31" s="178"/>
      <c r="AO31" s="178"/>
      <c r="AP31" s="178">
        <v>26376</v>
      </c>
      <c r="AQ31" s="178">
        <v>270</v>
      </c>
      <c r="AR31" s="178">
        <v>16898</v>
      </c>
      <c r="AS31" s="178">
        <v>304</v>
      </c>
      <c r="AT31" s="178">
        <v>537</v>
      </c>
      <c r="AU31" s="178">
        <v>11</v>
      </c>
      <c r="AV31" s="178"/>
      <c r="AW31" s="178"/>
      <c r="AX31" s="178">
        <v>27438</v>
      </c>
      <c r="AY31" s="178">
        <v>270</v>
      </c>
      <c r="AZ31" s="178">
        <v>15308</v>
      </c>
      <c r="BA31" s="178">
        <v>297</v>
      </c>
      <c r="BB31" s="178">
        <v>682</v>
      </c>
      <c r="BC31" s="178">
        <v>11</v>
      </c>
      <c r="BD31" s="178"/>
      <c r="BE31" s="178"/>
      <c r="BF31" s="178">
        <v>30200</v>
      </c>
      <c r="BG31" s="178">
        <v>305</v>
      </c>
      <c r="BH31" s="178">
        <v>16974</v>
      </c>
      <c r="BI31" s="178">
        <v>317</v>
      </c>
      <c r="BJ31" s="178">
        <v>1052</v>
      </c>
      <c r="BK31" s="178">
        <v>17</v>
      </c>
      <c r="BL31" s="178"/>
      <c r="BM31" s="178"/>
      <c r="BP31" s="222">
        <f t="shared" si="6"/>
        <v>24882.875</v>
      </c>
      <c r="BQ31" s="177"/>
      <c r="BR31" s="222">
        <f t="shared" si="7"/>
        <v>14457.25</v>
      </c>
      <c r="BS31" s="177"/>
      <c r="BT31" s="222"/>
      <c r="BU31" s="177"/>
      <c r="BV31" s="222"/>
      <c r="BX31">
        <v>0.10345</v>
      </c>
      <c r="BY31" s="179">
        <f t="shared" si="9"/>
        <v>220317</v>
      </c>
      <c r="BZ31" s="179">
        <f t="shared" si="0"/>
        <v>2185</v>
      </c>
      <c r="CA31" s="183">
        <f t="shared" si="11"/>
        <v>22791.79365</v>
      </c>
      <c r="CB31" s="183">
        <f t="shared" si="1"/>
        <v>10.431026842105263</v>
      </c>
      <c r="CC31" s="179">
        <f>SUM(D31,J31,P31,V31,AB31,AJ31,AR31,AZ31,BH31)</f>
        <v>130436</v>
      </c>
      <c r="CD31" s="179">
        <f t="shared" si="2"/>
        <v>2366</v>
      </c>
      <c r="CE31" s="183">
        <f>BX31*CC31</f>
        <v>13493.6042</v>
      </c>
      <c r="CF31" s="183">
        <f t="shared" si="3"/>
        <v>5.7031294167371094</v>
      </c>
      <c r="CG31" s="179">
        <f>SUM(F31,L31,R31,X31,AD31,AL31,AT31,BB31,BJ31)</f>
        <v>6839</v>
      </c>
      <c r="CH31" s="179">
        <f t="shared" si="4"/>
        <v>114</v>
      </c>
      <c r="CI31" s="183">
        <f t="shared" si="5"/>
        <v>707.49455</v>
      </c>
      <c r="CJ31">
        <f t="shared" si="10"/>
        <v>6.2060925438596488</v>
      </c>
    </row>
    <row r="32" spans="1:88">
      <c r="A32" s="177" t="s">
        <v>254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>
        <v>870</v>
      </c>
      <c r="U32" s="178">
        <v>3</v>
      </c>
      <c r="V32" s="178"/>
      <c r="W32" s="178"/>
      <c r="X32" s="178">
        <v>120</v>
      </c>
      <c r="Y32" s="178">
        <v>1</v>
      </c>
      <c r="Z32" s="178">
        <v>1708</v>
      </c>
      <c r="AA32" s="178">
        <v>7</v>
      </c>
      <c r="AB32" s="178">
        <v>30</v>
      </c>
      <c r="AC32" s="178">
        <v>1</v>
      </c>
      <c r="AD32" s="178">
        <v>1050</v>
      </c>
      <c r="AE32" s="178">
        <v>5</v>
      </c>
      <c r="AF32" s="178">
        <v>90</v>
      </c>
      <c r="AG32" s="178">
        <v>1</v>
      </c>
      <c r="AH32" s="178">
        <v>2320</v>
      </c>
      <c r="AI32" s="178">
        <v>9</v>
      </c>
      <c r="AJ32" s="178">
        <v>390</v>
      </c>
      <c r="AK32" s="178">
        <v>3</v>
      </c>
      <c r="AL32" s="178">
        <v>2263</v>
      </c>
      <c r="AM32" s="178">
        <v>9</v>
      </c>
      <c r="AN32" s="178">
        <v>400</v>
      </c>
      <c r="AO32" s="178">
        <v>2</v>
      </c>
      <c r="AP32" s="178">
        <v>4022</v>
      </c>
      <c r="AQ32" s="178">
        <v>14</v>
      </c>
      <c r="AR32" s="178">
        <v>360</v>
      </c>
      <c r="AS32" s="178">
        <v>2</v>
      </c>
      <c r="AT32" s="178">
        <v>1830</v>
      </c>
      <c r="AU32" s="178">
        <v>14</v>
      </c>
      <c r="AV32" s="178">
        <v>300</v>
      </c>
      <c r="AW32" s="178">
        <v>2</v>
      </c>
      <c r="AX32" s="178">
        <v>6722</v>
      </c>
      <c r="AY32" s="178">
        <v>15</v>
      </c>
      <c r="AZ32" s="178">
        <v>150</v>
      </c>
      <c r="BA32" s="178">
        <v>2</v>
      </c>
      <c r="BB32" s="178">
        <v>2906</v>
      </c>
      <c r="BC32" s="178">
        <v>16</v>
      </c>
      <c r="BD32" s="178">
        <v>645</v>
      </c>
      <c r="BE32" s="178">
        <v>4</v>
      </c>
      <c r="BF32" s="178">
        <v>4282</v>
      </c>
      <c r="BG32" s="178">
        <v>14</v>
      </c>
      <c r="BH32" s="178">
        <v>180</v>
      </c>
      <c r="BI32" s="178">
        <v>3</v>
      </c>
      <c r="BJ32" s="178">
        <v>2962</v>
      </c>
      <c r="BK32" s="178">
        <v>18</v>
      </c>
      <c r="BL32" s="178">
        <v>820</v>
      </c>
      <c r="BM32" s="178">
        <v>4</v>
      </c>
      <c r="BP32" s="222"/>
      <c r="BQ32" s="177"/>
      <c r="BR32" s="222"/>
      <c r="BS32" s="177"/>
      <c r="BT32" s="222">
        <f t="shared" si="8"/>
        <v>1773.6</v>
      </c>
      <c r="BU32" s="177"/>
      <c r="BV32" s="222">
        <f t="shared" si="12"/>
        <v>451</v>
      </c>
      <c r="BX32">
        <v>0.37</v>
      </c>
      <c r="BY32" s="179">
        <f t="shared" si="9"/>
        <v>19924</v>
      </c>
      <c r="BZ32" s="179">
        <f t="shared" si="0"/>
        <v>62</v>
      </c>
      <c r="CA32" s="183">
        <f t="shared" si="11"/>
        <v>7371.88</v>
      </c>
      <c r="CB32" s="183">
        <f t="shared" si="1"/>
        <v>118.90129032258065</v>
      </c>
      <c r="CC32" s="179">
        <f>SUM(D32,J32,P32,V32,AB32,AJ32,AR32,AZ32,BH32)</f>
        <v>1110</v>
      </c>
      <c r="CD32" s="179">
        <f t="shared" si="2"/>
        <v>11</v>
      </c>
      <c r="CE32" s="183">
        <f>BX32*CC32</f>
        <v>410.7</v>
      </c>
      <c r="CF32" s="183">
        <f t="shared" si="3"/>
        <v>37.336363636363636</v>
      </c>
      <c r="CG32" s="179">
        <f>SUM(F32,L32,R32,X32,AD32,AL32,AT32,BB32,BJ32)</f>
        <v>11131</v>
      </c>
      <c r="CH32" s="179">
        <f t="shared" si="4"/>
        <v>63</v>
      </c>
      <c r="CI32" s="183">
        <f t="shared" si="5"/>
        <v>4118.47</v>
      </c>
      <c r="CJ32">
        <f t="shared" si="10"/>
        <v>65.372539682539681</v>
      </c>
    </row>
    <row r="33" spans="1:88">
      <c r="A33" s="177" t="s">
        <v>255</v>
      </c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Y33" s="178"/>
      <c r="Z33" s="178">
        <v>1653</v>
      </c>
      <c r="AA33" s="178">
        <v>8</v>
      </c>
      <c r="AB33" s="178">
        <v>30</v>
      </c>
      <c r="AC33" s="178">
        <v>1</v>
      </c>
      <c r="AD33" s="178">
        <v>120</v>
      </c>
      <c r="AE33" s="178">
        <v>3</v>
      </c>
      <c r="AF33" s="178"/>
      <c r="AG33" s="178"/>
      <c r="AH33" s="178">
        <v>1311</v>
      </c>
      <c r="AI33" s="178">
        <v>8</v>
      </c>
      <c r="AJ33" s="178">
        <v>65</v>
      </c>
      <c r="AK33" s="178">
        <v>1</v>
      </c>
      <c r="AL33" s="178">
        <v>408</v>
      </c>
      <c r="AM33" s="178">
        <v>6</v>
      </c>
      <c r="AN33" s="178"/>
      <c r="AO33" s="178"/>
      <c r="AP33" s="178">
        <v>1449</v>
      </c>
      <c r="AQ33" s="178">
        <v>7</v>
      </c>
      <c r="AR33" s="178">
        <v>50</v>
      </c>
      <c r="AS33" s="178">
        <v>1</v>
      </c>
      <c r="AT33" s="178">
        <v>225</v>
      </c>
      <c r="AU33" s="178">
        <v>7</v>
      </c>
      <c r="AV33" s="178"/>
      <c r="AW33" s="178"/>
      <c r="AX33" s="178">
        <v>2141</v>
      </c>
      <c r="AY33" s="178">
        <v>13</v>
      </c>
      <c r="AZ33" s="178">
        <v>30</v>
      </c>
      <c r="BA33" s="178">
        <v>1</v>
      </c>
      <c r="BB33" s="178">
        <v>541</v>
      </c>
      <c r="BC33" s="178">
        <v>11</v>
      </c>
      <c r="BD33" s="178">
        <v>105</v>
      </c>
      <c r="BE33" s="178">
        <v>2</v>
      </c>
      <c r="BF33" s="178">
        <v>2489</v>
      </c>
      <c r="BG33" s="178">
        <v>15</v>
      </c>
      <c r="BH33" s="178">
        <v>304</v>
      </c>
      <c r="BI33" s="178">
        <v>3</v>
      </c>
      <c r="BJ33" s="178">
        <v>450</v>
      </c>
      <c r="BK33" s="178">
        <v>8</v>
      </c>
      <c r="BL33" s="178">
        <v>165</v>
      </c>
      <c r="BM33" s="178">
        <v>3</v>
      </c>
      <c r="BP33" s="222"/>
      <c r="BQ33" s="177"/>
      <c r="BR33" s="222"/>
      <c r="BS33" s="177"/>
      <c r="BT33" s="222"/>
      <c r="BU33" s="177"/>
      <c r="BV33" s="222">
        <f t="shared" si="12"/>
        <v>135</v>
      </c>
      <c r="BX33">
        <v>1.0943000000000001</v>
      </c>
      <c r="BY33" s="179">
        <f t="shared" si="9"/>
        <v>9043</v>
      </c>
      <c r="BZ33" s="179">
        <f t="shared" si="0"/>
        <v>51</v>
      </c>
      <c r="CA33" s="183">
        <f t="shared" si="11"/>
        <v>9895.7548999999999</v>
      </c>
      <c r="CB33" s="183">
        <f t="shared" si="1"/>
        <v>194.03440980392156</v>
      </c>
      <c r="CC33" s="179">
        <f>SUM(D33,J33,P33,V33,AB33,AJ33,AR33,AZ33,BH33)</f>
        <v>479</v>
      </c>
      <c r="CD33" s="179">
        <f t="shared" si="2"/>
        <v>7</v>
      </c>
      <c r="CE33" s="183">
        <f>BX33*CC33</f>
        <v>524.16970000000003</v>
      </c>
      <c r="CF33" s="183">
        <f t="shared" si="3"/>
        <v>74.881385714285713</v>
      </c>
      <c r="CG33" s="179">
        <f>SUM(F33,L33,R33,X33,AD33,AL33,AT33,BB33,BJ33)</f>
        <v>1744</v>
      </c>
      <c r="CH33" s="179">
        <f t="shared" si="4"/>
        <v>35</v>
      </c>
      <c r="CI33" s="183">
        <f t="shared" si="5"/>
        <v>1908.4592</v>
      </c>
      <c r="CJ33">
        <f t="shared" si="10"/>
        <v>54.527405714285713</v>
      </c>
    </row>
    <row r="34" spans="1:88">
      <c r="A34" s="177" t="s">
        <v>127</v>
      </c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>
        <v>1876</v>
      </c>
      <c r="U34" s="178">
        <v>9</v>
      </c>
      <c r="V34" s="178">
        <v>30</v>
      </c>
      <c r="W34" s="178">
        <v>1</v>
      </c>
      <c r="X34" s="178">
        <v>348</v>
      </c>
      <c r="Y34" s="178">
        <v>4</v>
      </c>
      <c r="Z34" s="178">
        <v>7431</v>
      </c>
      <c r="AA34" s="178">
        <v>34</v>
      </c>
      <c r="AB34" s="178">
        <v>220</v>
      </c>
      <c r="AC34" s="178">
        <v>3</v>
      </c>
      <c r="AD34" s="178">
        <v>1716</v>
      </c>
      <c r="AE34" s="178">
        <v>22</v>
      </c>
      <c r="AF34" s="178">
        <v>302</v>
      </c>
      <c r="AG34" s="178">
        <v>3</v>
      </c>
      <c r="AH34" s="178">
        <v>12788</v>
      </c>
      <c r="AI34" s="178">
        <v>51</v>
      </c>
      <c r="AJ34" s="178">
        <v>666</v>
      </c>
      <c r="AK34" s="178">
        <v>7</v>
      </c>
      <c r="AL34" s="178">
        <v>2655</v>
      </c>
      <c r="AM34" s="178">
        <v>31</v>
      </c>
      <c r="AN34" s="178">
        <v>570</v>
      </c>
      <c r="AO34" s="178">
        <v>5</v>
      </c>
      <c r="AP34" s="178">
        <v>10410</v>
      </c>
      <c r="AQ34" s="178">
        <v>51</v>
      </c>
      <c r="AR34" s="178">
        <v>616</v>
      </c>
      <c r="AS34" s="178">
        <v>9</v>
      </c>
      <c r="AT34" s="178">
        <v>3389</v>
      </c>
      <c r="AU34" s="178">
        <v>37</v>
      </c>
      <c r="AV34" s="178">
        <v>814</v>
      </c>
      <c r="AW34" s="178">
        <v>7</v>
      </c>
      <c r="AX34" s="178">
        <v>9253</v>
      </c>
      <c r="AY34" s="178">
        <v>48</v>
      </c>
      <c r="AZ34" s="178">
        <v>489</v>
      </c>
      <c r="BA34" s="178">
        <v>8</v>
      </c>
      <c r="BB34" s="178">
        <v>3238</v>
      </c>
      <c r="BC34" s="178">
        <v>43</v>
      </c>
      <c r="BD34" s="178">
        <v>635</v>
      </c>
      <c r="BE34" s="178">
        <v>8</v>
      </c>
      <c r="BF34" s="178">
        <v>21795</v>
      </c>
      <c r="BG34" s="178">
        <v>91</v>
      </c>
      <c r="BH34" s="178">
        <v>929</v>
      </c>
      <c r="BI34" s="178">
        <v>13</v>
      </c>
      <c r="BJ34" s="178">
        <v>4384</v>
      </c>
      <c r="BK34" s="178">
        <v>53</v>
      </c>
      <c r="BL34" s="178">
        <v>1000</v>
      </c>
      <c r="BM34" s="178">
        <v>10</v>
      </c>
      <c r="BP34" s="222">
        <f t="shared" si="6"/>
        <v>10153</v>
      </c>
      <c r="BQ34" s="177"/>
      <c r="BR34" s="222"/>
      <c r="BS34" s="177"/>
      <c r="BT34" s="222">
        <f t="shared" si="8"/>
        <v>2615</v>
      </c>
      <c r="BU34" s="177"/>
      <c r="BV34" s="222">
        <f t="shared" si="12"/>
        <v>664.2</v>
      </c>
      <c r="BX34">
        <v>0.70299999999999996</v>
      </c>
      <c r="BY34" s="179">
        <f t="shared" si="9"/>
        <v>63553</v>
      </c>
      <c r="BZ34" s="179">
        <f t="shared" si="0"/>
        <v>284</v>
      </c>
      <c r="CA34" s="183">
        <f t="shared" si="11"/>
        <v>44677.758999999998</v>
      </c>
      <c r="CB34" s="183">
        <f t="shared" si="1"/>
        <v>157.31605281690139</v>
      </c>
      <c r="CC34" s="179">
        <f>SUM(D34,J34,P34,V34,AB34,AJ34,AR34,AZ34,BH34)</f>
        <v>2950</v>
      </c>
      <c r="CD34" s="179">
        <f t="shared" si="2"/>
        <v>41</v>
      </c>
      <c r="CE34" s="183">
        <f>BX34*CC34</f>
        <v>2073.85</v>
      </c>
      <c r="CF34" s="183">
        <f t="shared" si="3"/>
        <v>50.581707317073167</v>
      </c>
      <c r="CG34" s="179">
        <f>SUM(F34,L34,R34,X34,AD34,AL34,AT34,BB34,BJ34)</f>
        <v>15730</v>
      </c>
      <c r="CH34" s="179">
        <f t="shared" si="4"/>
        <v>190</v>
      </c>
      <c r="CI34" s="183">
        <f t="shared" si="5"/>
        <v>11058.189999999999</v>
      </c>
      <c r="CJ34">
        <f t="shared" si="10"/>
        <v>58.200999999999993</v>
      </c>
    </row>
    <row r="35" spans="1:88">
      <c r="A35" s="177" t="s">
        <v>256</v>
      </c>
      <c r="B35" s="178">
        <v>64568</v>
      </c>
      <c r="C35" s="178">
        <v>742</v>
      </c>
      <c r="D35" s="178">
        <v>29189</v>
      </c>
      <c r="E35" s="178">
        <v>458</v>
      </c>
      <c r="F35" s="178">
        <v>1484</v>
      </c>
      <c r="G35" s="178">
        <v>30</v>
      </c>
      <c r="H35" s="178">
        <v>33495</v>
      </c>
      <c r="I35" s="178">
        <v>402</v>
      </c>
      <c r="J35" s="178">
        <v>16629</v>
      </c>
      <c r="K35" s="178">
        <v>274</v>
      </c>
      <c r="L35" s="178">
        <v>743</v>
      </c>
      <c r="M35" s="178">
        <v>14</v>
      </c>
      <c r="N35" s="178">
        <v>11823</v>
      </c>
      <c r="O35" s="178">
        <v>140</v>
      </c>
      <c r="P35" s="178">
        <v>4021</v>
      </c>
      <c r="Q35" s="178">
        <v>67</v>
      </c>
      <c r="R35" s="178">
        <v>154</v>
      </c>
      <c r="S35" s="178">
        <v>2</v>
      </c>
      <c r="T35" s="178">
        <v>2897</v>
      </c>
      <c r="U35" s="178">
        <v>37</v>
      </c>
      <c r="V35" s="178">
        <v>1467</v>
      </c>
      <c r="W35" s="178">
        <v>28</v>
      </c>
      <c r="X35" s="178">
        <v>32</v>
      </c>
      <c r="Y35" s="178">
        <v>1</v>
      </c>
      <c r="Z35" s="178">
        <v>1662</v>
      </c>
      <c r="AA35" s="178">
        <v>20</v>
      </c>
      <c r="AB35" s="178">
        <v>696</v>
      </c>
      <c r="AC35" s="178">
        <v>11</v>
      </c>
      <c r="AD35" s="178"/>
      <c r="AE35" s="178"/>
      <c r="AF35" s="178"/>
      <c r="AG35" s="178"/>
      <c r="AH35" s="178">
        <v>1064</v>
      </c>
      <c r="AI35" s="178">
        <v>13</v>
      </c>
      <c r="AJ35" s="178">
        <v>1079</v>
      </c>
      <c r="AK35" s="178">
        <v>18</v>
      </c>
      <c r="AL35" s="178"/>
      <c r="AM35" s="178"/>
      <c r="AN35" s="178"/>
      <c r="AO35" s="178"/>
      <c r="AP35" s="178">
        <v>2500</v>
      </c>
      <c r="AQ35" s="178">
        <v>33</v>
      </c>
      <c r="AR35" s="178">
        <v>1761</v>
      </c>
      <c r="AS35" s="178">
        <v>43</v>
      </c>
      <c r="AT35" s="178"/>
      <c r="AU35" s="178"/>
      <c r="AV35" s="178"/>
      <c r="AW35" s="178"/>
      <c r="AX35" s="178">
        <v>1175</v>
      </c>
      <c r="AY35" s="178">
        <v>26</v>
      </c>
      <c r="AZ35" s="178">
        <v>1019</v>
      </c>
      <c r="BA35" s="178">
        <v>25</v>
      </c>
      <c r="BB35" s="178"/>
      <c r="BC35" s="178"/>
      <c r="BD35" s="178"/>
      <c r="BE35" s="178"/>
      <c r="BF35" s="178">
        <v>943</v>
      </c>
      <c r="BG35" s="178">
        <v>29</v>
      </c>
      <c r="BH35" s="178">
        <v>765</v>
      </c>
      <c r="BI35" s="178">
        <v>21</v>
      </c>
      <c r="BJ35" s="178">
        <v>15</v>
      </c>
      <c r="BK35" s="178">
        <v>1</v>
      </c>
      <c r="BL35" s="178"/>
      <c r="BM35" s="178"/>
      <c r="BP35" s="222">
        <f t="shared" si="6"/>
        <v>14882.875</v>
      </c>
      <c r="BQ35" s="177"/>
      <c r="BR35" s="222">
        <f t="shared" si="7"/>
        <v>6943.375</v>
      </c>
      <c r="BS35" s="177"/>
      <c r="BT35" s="222"/>
      <c r="BU35" s="177"/>
      <c r="BV35" s="222"/>
      <c r="BX35">
        <v>0.21840000000000001</v>
      </c>
      <c r="BY35" s="179">
        <f t="shared" si="9"/>
        <v>120127</v>
      </c>
      <c r="BZ35" s="179">
        <f t="shared" si="0"/>
        <v>1442</v>
      </c>
      <c r="CA35" s="183">
        <f t="shared" si="11"/>
        <v>26235.736800000002</v>
      </c>
      <c r="CB35" s="183">
        <f t="shared" si="1"/>
        <v>18.193992233009709</v>
      </c>
      <c r="CC35" s="179">
        <f>SUM(D35,J35,P35,V35,AB35,AJ35,AR35,AZ35,BH35)</f>
        <v>56626</v>
      </c>
      <c r="CD35" s="179">
        <f t="shared" si="2"/>
        <v>945</v>
      </c>
      <c r="CE35" s="183">
        <f>BX35*CC35</f>
        <v>12367.118400000001</v>
      </c>
      <c r="CF35" s="183">
        <f t="shared" si="3"/>
        <v>13.086897777777779</v>
      </c>
      <c r="CG35" s="179">
        <f>SUM(F35,L35,R35,X35,AD35,AL35,AT35,BB35,BJ35)</f>
        <v>2428</v>
      </c>
      <c r="CH35" s="179">
        <f t="shared" si="4"/>
        <v>48</v>
      </c>
      <c r="CI35" s="183">
        <f t="shared" si="5"/>
        <v>530.27520000000004</v>
      </c>
      <c r="CJ35">
        <f t="shared" si="10"/>
        <v>11.047400000000001</v>
      </c>
    </row>
    <row r="36" spans="1:88">
      <c r="A36" s="177" t="s">
        <v>257</v>
      </c>
      <c r="B36" s="178">
        <v>6408</v>
      </c>
      <c r="C36" s="178">
        <v>78</v>
      </c>
      <c r="D36" s="178">
        <v>5857</v>
      </c>
      <c r="E36" s="178">
        <v>96</v>
      </c>
      <c r="F36" s="178">
        <v>76</v>
      </c>
      <c r="G36" s="178">
        <v>2</v>
      </c>
      <c r="H36" s="178">
        <v>55172</v>
      </c>
      <c r="I36" s="178">
        <v>639</v>
      </c>
      <c r="J36" s="178">
        <v>35611</v>
      </c>
      <c r="K36" s="178">
        <v>656</v>
      </c>
      <c r="L36" s="178">
        <v>1516</v>
      </c>
      <c r="M36" s="178">
        <v>31</v>
      </c>
      <c r="N36" s="178">
        <v>73705</v>
      </c>
      <c r="O36" s="178">
        <v>856</v>
      </c>
      <c r="P36" s="178">
        <v>43308</v>
      </c>
      <c r="Q36" s="178">
        <v>813</v>
      </c>
      <c r="R36" s="178">
        <v>1228</v>
      </c>
      <c r="S36" s="178">
        <v>29</v>
      </c>
      <c r="T36" s="178">
        <v>54312</v>
      </c>
      <c r="U36" s="178">
        <v>636</v>
      </c>
      <c r="V36" s="178">
        <v>34200</v>
      </c>
      <c r="W36" s="178">
        <v>616</v>
      </c>
      <c r="X36" s="178">
        <v>1121</v>
      </c>
      <c r="Y36" s="178">
        <v>22</v>
      </c>
      <c r="Z36" s="178">
        <v>14020</v>
      </c>
      <c r="AA36" s="178">
        <v>164</v>
      </c>
      <c r="AB36" s="178">
        <v>7648</v>
      </c>
      <c r="AC36" s="178">
        <v>124</v>
      </c>
      <c r="AD36" s="178">
        <v>214</v>
      </c>
      <c r="AE36" s="178">
        <v>3</v>
      </c>
      <c r="AF36" s="178"/>
      <c r="AG36" s="178"/>
      <c r="AH36" s="178">
        <v>3893</v>
      </c>
      <c r="AI36" s="178">
        <v>49</v>
      </c>
      <c r="AJ36" s="178">
        <v>2212</v>
      </c>
      <c r="AK36" s="178">
        <v>40</v>
      </c>
      <c r="AL36" s="178"/>
      <c r="AM36" s="178"/>
      <c r="AN36" s="178"/>
      <c r="AO36" s="178"/>
      <c r="AP36" s="178">
        <v>2766</v>
      </c>
      <c r="AQ36" s="178">
        <v>35</v>
      </c>
      <c r="AR36" s="178">
        <v>728</v>
      </c>
      <c r="AS36" s="178">
        <v>18</v>
      </c>
      <c r="AT36" s="178"/>
      <c r="AU36" s="178"/>
      <c r="AV36" s="178"/>
      <c r="AW36" s="178"/>
      <c r="AX36" s="178">
        <v>733</v>
      </c>
      <c r="AY36" s="178">
        <v>10</v>
      </c>
      <c r="AZ36" s="178">
        <v>397</v>
      </c>
      <c r="BA36" s="178">
        <v>7</v>
      </c>
      <c r="BB36" s="178"/>
      <c r="BC36" s="178"/>
      <c r="BD36" s="178"/>
      <c r="BE36" s="178"/>
      <c r="BF36" s="178">
        <v>68</v>
      </c>
      <c r="BG36" s="178">
        <v>1</v>
      </c>
      <c r="BH36" s="178">
        <v>92</v>
      </c>
      <c r="BI36" s="178">
        <v>1</v>
      </c>
      <c r="BJ36" s="178"/>
      <c r="BK36" s="178"/>
      <c r="BL36" s="178"/>
      <c r="BM36" s="178"/>
      <c r="BP36" s="222">
        <f t="shared" si="6"/>
        <v>25898</v>
      </c>
      <c r="BQ36" s="177"/>
      <c r="BR36" s="222">
        <f t="shared" si="7"/>
        <v>15980.125</v>
      </c>
      <c r="BS36" s="177"/>
      <c r="BT36" s="222"/>
      <c r="BU36" s="177"/>
      <c r="BV36" s="222"/>
      <c r="BX36">
        <v>0.21840000000000001</v>
      </c>
      <c r="BY36" s="179">
        <f t="shared" si="9"/>
        <v>211077</v>
      </c>
      <c r="BZ36" s="179">
        <f t="shared" si="0"/>
        <v>2468</v>
      </c>
      <c r="CA36" s="183">
        <f t="shared" si="11"/>
        <v>46099.216800000002</v>
      </c>
      <c r="CB36" s="183">
        <f t="shared" si="1"/>
        <v>18.678775040518641</v>
      </c>
      <c r="CC36" s="179">
        <f>SUM(D36,J36,P36,V36,AB36,AJ36,AR36,AZ36,BH36)</f>
        <v>130053</v>
      </c>
      <c r="CD36" s="179">
        <f t="shared" si="2"/>
        <v>2371</v>
      </c>
      <c r="CE36" s="183">
        <f>BX36*CC36</f>
        <v>28403.575200000003</v>
      </c>
      <c r="CF36" s="183">
        <f t="shared" si="3"/>
        <v>11.979576212568539</v>
      </c>
      <c r="CG36" s="179">
        <f>SUM(F36,L36,R36,X36,AD36,AL36,AT36,BB36,BJ36)</f>
        <v>4155</v>
      </c>
      <c r="CH36" s="179">
        <f t="shared" si="4"/>
        <v>87</v>
      </c>
      <c r="CI36" s="183">
        <f t="shared" si="5"/>
        <v>907.452</v>
      </c>
      <c r="CJ36">
        <f t="shared" si="10"/>
        <v>10.430482758620689</v>
      </c>
    </row>
    <row r="37" spans="1:88">
      <c r="A37" s="177" t="s">
        <v>77</v>
      </c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>
        <v>8636</v>
      </c>
      <c r="U37" s="178">
        <v>81</v>
      </c>
      <c r="V37" s="178">
        <v>5810</v>
      </c>
      <c r="W37" s="178">
        <v>72</v>
      </c>
      <c r="X37" s="178">
        <v>30</v>
      </c>
      <c r="Y37" s="178">
        <v>1</v>
      </c>
      <c r="Z37" s="178">
        <v>36184</v>
      </c>
      <c r="AA37" s="178">
        <v>331</v>
      </c>
      <c r="AB37" s="178">
        <v>27680</v>
      </c>
      <c r="AC37" s="178">
        <v>360</v>
      </c>
      <c r="AD37" s="178">
        <v>602</v>
      </c>
      <c r="AE37" s="178">
        <v>11</v>
      </c>
      <c r="AF37" s="178"/>
      <c r="AG37" s="178"/>
      <c r="AH37" s="178">
        <v>55717</v>
      </c>
      <c r="AI37" s="178">
        <v>510</v>
      </c>
      <c r="AJ37" s="178">
        <v>45609</v>
      </c>
      <c r="AK37" s="178">
        <v>610</v>
      </c>
      <c r="AL37" s="178">
        <v>1268</v>
      </c>
      <c r="AM37" s="178">
        <v>23</v>
      </c>
      <c r="AN37" s="178"/>
      <c r="AO37" s="178"/>
      <c r="AP37" s="178">
        <v>65133</v>
      </c>
      <c r="AQ37" s="178">
        <v>596</v>
      </c>
      <c r="AR37" s="178">
        <v>61564</v>
      </c>
      <c r="AS37" s="178">
        <v>828</v>
      </c>
      <c r="AT37" s="178">
        <v>1930</v>
      </c>
      <c r="AU37" s="178">
        <v>32</v>
      </c>
      <c r="AV37" s="178"/>
      <c r="AW37" s="178"/>
      <c r="AX37" s="178">
        <v>19884</v>
      </c>
      <c r="AY37" s="178">
        <v>182</v>
      </c>
      <c r="AZ37" s="178">
        <v>17012</v>
      </c>
      <c r="BA37" s="178">
        <v>252</v>
      </c>
      <c r="BB37" s="178">
        <v>664</v>
      </c>
      <c r="BC37" s="178">
        <v>11</v>
      </c>
      <c r="BD37" s="178"/>
      <c r="BE37" s="178"/>
      <c r="BF37" s="178">
        <v>920</v>
      </c>
      <c r="BG37" s="178">
        <v>17</v>
      </c>
      <c r="BH37" s="178">
        <v>574</v>
      </c>
      <c r="BI37" s="178">
        <v>13</v>
      </c>
      <c r="BJ37" s="178"/>
      <c r="BK37" s="178"/>
      <c r="BL37" s="178"/>
      <c r="BM37" s="178"/>
      <c r="BP37" s="222">
        <f t="shared" si="6"/>
        <v>26151.4</v>
      </c>
      <c r="BQ37" s="177"/>
      <c r="BR37" s="222">
        <f t="shared" si="7"/>
        <v>22528</v>
      </c>
      <c r="BS37" s="177"/>
      <c r="BT37" s="222"/>
      <c r="BU37" s="177"/>
      <c r="BV37" s="222"/>
      <c r="BX37">
        <v>6.7500000000000004E-2</v>
      </c>
      <c r="BY37" s="179">
        <f t="shared" si="9"/>
        <v>186474</v>
      </c>
      <c r="BZ37" s="179">
        <f t="shared" si="0"/>
        <v>1717</v>
      </c>
      <c r="CA37" s="183">
        <f t="shared" si="11"/>
        <v>12586.995000000001</v>
      </c>
      <c r="CB37" s="183">
        <f t="shared" si="1"/>
        <v>7.3308066394874789</v>
      </c>
      <c r="CC37" s="179">
        <f>SUM(D37,J37,P37,V37,AB37,AJ37,AR37,AZ37,BH37)</f>
        <v>158249</v>
      </c>
      <c r="CD37" s="179">
        <f t="shared" si="2"/>
        <v>2135</v>
      </c>
      <c r="CE37" s="183">
        <f>BX37*CC37</f>
        <v>10681.807500000001</v>
      </c>
      <c r="CF37" s="183">
        <f t="shared" si="3"/>
        <v>5.0031885245901639</v>
      </c>
      <c r="CG37" s="179">
        <f>SUM(F37,L37,R37,X37,AD37,AL37,AT37,BB37,BJ37)</f>
        <v>4494</v>
      </c>
      <c r="CH37" s="179">
        <f t="shared" si="4"/>
        <v>78</v>
      </c>
      <c r="CI37" s="183">
        <f t="shared" si="5"/>
        <v>303.34500000000003</v>
      </c>
      <c r="CJ37">
        <f t="shared" si="10"/>
        <v>3.8890384615384619</v>
      </c>
    </row>
    <row r="38" spans="1:88">
      <c r="A38" s="177" t="s">
        <v>258</v>
      </c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>
        <v>22692</v>
      </c>
      <c r="U38" s="178">
        <v>264</v>
      </c>
      <c r="V38" s="178">
        <v>9279</v>
      </c>
      <c r="W38" s="178">
        <v>183</v>
      </c>
      <c r="X38" s="178">
        <v>690</v>
      </c>
      <c r="Y38" s="178">
        <v>16</v>
      </c>
      <c r="Z38" s="178">
        <v>65051</v>
      </c>
      <c r="AA38" s="178">
        <v>760</v>
      </c>
      <c r="AB38" s="178">
        <v>27615</v>
      </c>
      <c r="AC38" s="178">
        <v>560</v>
      </c>
      <c r="AD38" s="178">
        <v>1143</v>
      </c>
      <c r="AE38" s="178">
        <v>24</v>
      </c>
      <c r="AF38" s="178"/>
      <c r="AG38" s="178"/>
      <c r="AH38" s="178">
        <v>76445</v>
      </c>
      <c r="AI38" s="178">
        <v>877</v>
      </c>
      <c r="AJ38" s="178">
        <v>32986</v>
      </c>
      <c r="AK38" s="178">
        <v>687</v>
      </c>
      <c r="AL38" s="178">
        <v>1692</v>
      </c>
      <c r="AM38" s="178">
        <v>37</v>
      </c>
      <c r="AN38" s="178"/>
      <c r="AO38" s="178"/>
      <c r="AP38" s="178">
        <v>62048</v>
      </c>
      <c r="AQ38" s="178">
        <v>722</v>
      </c>
      <c r="AR38" s="178">
        <v>30865</v>
      </c>
      <c r="AS38" s="178">
        <v>615</v>
      </c>
      <c r="AT38" s="178">
        <v>1790</v>
      </c>
      <c r="AU38" s="178">
        <v>37</v>
      </c>
      <c r="AV38" s="178"/>
      <c r="AW38" s="178"/>
      <c r="AX38" s="178">
        <v>17776</v>
      </c>
      <c r="AY38" s="178">
        <v>214</v>
      </c>
      <c r="AZ38" s="178">
        <v>7984</v>
      </c>
      <c r="BA38" s="178">
        <v>167</v>
      </c>
      <c r="BB38" s="178">
        <v>230</v>
      </c>
      <c r="BC38" s="178">
        <v>6</v>
      </c>
      <c r="BD38" s="178"/>
      <c r="BE38" s="178"/>
      <c r="BF38" s="178">
        <v>41882</v>
      </c>
      <c r="BG38" s="178">
        <v>488</v>
      </c>
      <c r="BH38" s="178">
        <v>16061</v>
      </c>
      <c r="BI38" s="178">
        <v>297</v>
      </c>
      <c r="BJ38" s="178">
        <v>915</v>
      </c>
      <c r="BK38" s="178">
        <v>17</v>
      </c>
      <c r="BL38" s="178"/>
      <c r="BM38" s="178"/>
      <c r="BP38" s="222">
        <f t="shared" si="6"/>
        <v>41889.800000000003</v>
      </c>
      <c r="BQ38" s="177"/>
      <c r="BR38" s="222">
        <f t="shared" si="7"/>
        <v>18360.8</v>
      </c>
      <c r="BS38" s="177"/>
      <c r="BT38" s="222"/>
      <c r="BU38" s="177"/>
      <c r="BV38" s="222"/>
      <c r="BX38">
        <v>0.21840000000000001</v>
      </c>
      <c r="BY38" s="179">
        <f t="shared" si="9"/>
        <v>285894</v>
      </c>
      <c r="BZ38" s="179">
        <f t="shared" si="0"/>
        <v>3325</v>
      </c>
      <c r="CA38" s="183">
        <f t="shared" si="11"/>
        <v>62439.249600000003</v>
      </c>
      <c r="CB38" s="183">
        <f t="shared" si="1"/>
        <v>18.778721684210527</v>
      </c>
      <c r="CC38" s="179">
        <f>SUM(D38,J38,P38,V38,AB38,AJ38,AR38,AZ38,BH38)</f>
        <v>124790</v>
      </c>
      <c r="CD38" s="179">
        <f t="shared" si="2"/>
        <v>2509</v>
      </c>
      <c r="CE38" s="183">
        <f>BX38*CC38</f>
        <v>27254.136000000002</v>
      </c>
      <c r="CF38" s="183">
        <f t="shared" si="3"/>
        <v>10.862549222797929</v>
      </c>
      <c r="CG38" s="179">
        <f>SUM(F38,L38,R38,X38,AD38,AL38,AT38,BB38,BJ38)</f>
        <v>6460</v>
      </c>
      <c r="CH38" s="179">
        <f t="shared" si="4"/>
        <v>137</v>
      </c>
      <c r="CI38" s="183">
        <f t="shared" si="5"/>
        <v>1410.864</v>
      </c>
      <c r="CJ38">
        <f t="shared" si="10"/>
        <v>10.298277372262774</v>
      </c>
    </row>
    <row r="39" spans="1:88">
      <c r="A39" s="177" t="s">
        <v>259</v>
      </c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>
        <v>1196</v>
      </c>
      <c r="U39" s="178">
        <v>4</v>
      </c>
      <c r="V39" s="178">
        <v>1226</v>
      </c>
      <c r="W39" s="178">
        <v>7</v>
      </c>
      <c r="X39" s="178">
        <v>100</v>
      </c>
      <c r="Y39" s="178">
        <v>1</v>
      </c>
      <c r="Z39" s="178">
        <v>3582</v>
      </c>
      <c r="AA39" s="178">
        <v>12</v>
      </c>
      <c r="AB39" s="178">
        <v>6246</v>
      </c>
      <c r="AC39" s="178">
        <v>34</v>
      </c>
      <c r="AD39" s="178">
        <v>1098</v>
      </c>
      <c r="AE39" s="178">
        <v>6</v>
      </c>
      <c r="AF39" s="178">
        <v>460</v>
      </c>
      <c r="AG39" s="178">
        <v>1</v>
      </c>
      <c r="AH39" s="178">
        <v>4289</v>
      </c>
      <c r="AI39" s="178">
        <v>14</v>
      </c>
      <c r="AJ39" s="178">
        <v>6225</v>
      </c>
      <c r="AK39" s="178">
        <v>45</v>
      </c>
      <c r="AL39" s="178">
        <v>1424</v>
      </c>
      <c r="AM39" s="178">
        <v>5</v>
      </c>
      <c r="AN39" s="178">
        <v>190</v>
      </c>
      <c r="AO39" s="178">
        <v>2</v>
      </c>
      <c r="AP39" s="178">
        <v>5060</v>
      </c>
      <c r="AQ39" s="178">
        <v>15</v>
      </c>
      <c r="AR39" s="178">
        <v>9924</v>
      </c>
      <c r="AS39" s="178">
        <v>61</v>
      </c>
      <c r="AT39" s="178">
        <v>982</v>
      </c>
      <c r="AU39" s="178">
        <v>10</v>
      </c>
      <c r="AV39" s="178">
        <v>430</v>
      </c>
      <c r="AW39" s="178">
        <v>3</v>
      </c>
      <c r="AX39" s="178">
        <v>2496</v>
      </c>
      <c r="AY39" s="178">
        <v>9</v>
      </c>
      <c r="AZ39" s="178">
        <v>9128</v>
      </c>
      <c r="BA39" s="178">
        <v>58</v>
      </c>
      <c r="BB39" s="178">
        <v>2180</v>
      </c>
      <c r="BC39" s="178">
        <v>10</v>
      </c>
      <c r="BD39" s="178">
        <v>253</v>
      </c>
      <c r="BE39" s="178">
        <v>2</v>
      </c>
      <c r="BF39" s="178">
        <v>7748</v>
      </c>
      <c r="BG39" s="178">
        <v>23</v>
      </c>
      <c r="BH39" s="178">
        <v>10611</v>
      </c>
      <c r="BI39" s="178">
        <v>68</v>
      </c>
      <c r="BJ39" s="178">
        <v>1765</v>
      </c>
      <c r="BK39" s="178">
        <v>14</v>
      </c>
      <c r="BL39" s="178">
        <v>310</v>
      </c>
      <c r="BM39" s="178">
        <v>4</v>
      </c>
      <c r="BP39" s="222"/>
      <c r="BQ39" s="177"/>
      <c r="BR39" s="222"/>
      <c r="BS39" s="177"/>
      <c r="BT39" s="222">
        <f t="shared" si="8"/>
        <v>1225</v>
      </c>
      <c r="BU39" s="177"/>
      <c r="BV39" s="222">
        <f t="shared" si="12"/>
        <v>328.6</v>
      </c>
      <c r="BX39">
        <v>0.39</v>
      </c>
      <c r="BY39" s="179">
        <f t="shared" si="9"/>
        <v>24371</v>
      </c>
      <c r="BZ39" s="179">
        <f t="shared" si="0"/>
        <v>77</v>
      </c>
      <c r="CA39" s="183">
        <f t="shared" si="11"/>
        <v>9504.69</v>
      </c>
      <c r="CB39" s="183">
        <f t="shared" si="1"/>
        <v>123.43753246753248</v>
      </c>
      <c r="CC39" s="179">
        <f>SUM(D39,J39,P39,V39,AB39,AJ39,AR39,AZ39,BH39)</f>
        <v>43360</v>
      </c>
      <c r="CD39" s="179">
        <f t="shared" si="2"/>
        <v>273</v>
      </c>
      <c r="CE39" s="183">
        <f>BX39*CC39</f>
        <v>16910.400000000001</v>
      </c>
      <c r="CF39" s="183">
        <f t="shared" si="3"/>
        <v>61.94285714285715</v>
      </c>
      <c r="CG39" s="179">
        <f>SUM(F39,L39,R39,X39,AD39,AL39,AT39,BB39,BJ39)</f>
        <v>7549</v>
      </c>
      <c r="CH39" s="179">
        <f t="shared" si="4"/>
        <v>46</v>
      </c>
      <c r="CI39" s="183">
        <f t="shared" si="5"/>
        <v>2944.11</v>
      </c>
      <c r="CJ39">
        <f t="shared" si="10"/>
        <v>64.002391304347825</v>
      </c>
    </row>
    <row r="40" spans="1:88">
      <c r="A40" s="177" t="s">
        <v>260</v>
      </c>
      <c r="B40" s="178">
        <v>360</v>
      </c>
      <c r="C40" s="178">
        <v>24</v>
      </c>
      <c r="D40" s="178">
        <v>135</v>
      </c>
      <c r="E40" s="178">
        <v>10</v>
      </c>
      <c r="F40" s="178">
        <v>20</v>
      </c>
      <c r="G40" s="178">
        <v>2</v>
      </c>
      <c r="H40" s="178">
        <v>521</v>
      </c>
      <c r="I40" s="178">
        <v>28</v>
      </c>
      <c r="J40" s="178">
        <v>271</v>
      </c>
      <c r="K40" s="178">
        <v>20</v>
      </c>
      <c r="L40" s="178">
        <v>45</v>
      </c>
      <c r="M40" s="178">
        <v>3</v>
      </c>
      <c r="N40" s="178">
        <v>589</v>
      </c>
      <c r="O40" s="178">
        <v>34</v>
      </c>
      <c r="P40" s="178">
        <v>208</v>
      </c>
      <c r="Q40" s="178">
        <v>16</v>
      </c>
      <c r="R40" s="178">
        <v>30</v>
      </c>
      <c r="S40" s="178">
        <v>2</v>
      </c>
      <c r="T40" s="178">
        <v>503</v>
      </c>
      <c r="U40" s="178">
        <v>36</v>
      </c>
      <c r="V40" s="178">
        <v>195</v>
      </c>
      <c r="W40" s="178">
        <v>13</v>
      </c>
      <c r="X40" s="178">
        <v>55</v>
      </c>
      <c r="Y40" s="178">
        <v>5</v>
      </c>
      <c r="Z40" s="178">
        <v>844</v>
      </c>
      <c r="AA40" s="178">
        <v>43</v>
      </c>
      <c r="AB40" s="178">
        <v>190</v>
      </c>
      <c r="AC40" s="178">
        <v>14</v>
      </c>
      <c r="AD40" s="178">
        <v>50</v>
      </c>
      <c r="AE40" s="178">
        <v>4</v>
      </c>
      <c r="AF40" s="178"/>
      <c r="AG40" s="178"/>
      <c r="AH40" s="178">
        <v>384</v>
      </c>
      <c r="AI40" s="178">
        <v>26</v>
      </c>
      <c r="AJ40" s="178">
        <v>98</v>
      </c>
      <c r="AK40" s="178">
        <v>7</v>
      </c>
      <c r="AL40" s="178"/>
      <c r="AM40" s="178"/>
      <c r="AN40" s="178"/>
      <c r="AO40" s="178"/>
      <c r="AP40" s="178">
        <v>374</v>
      </c>
      <c r="AQ40" s="178">
        <v>25</v>
      </c>
      <c r="AR40" s="178">
        <v>147</v>
      </c>
      <c r="AS40" s="178">
        <v>11</v>
      </c>
      <c r="AT40" s="178">
        <v>90</v>
      </c>
      <c r="AU40" s="178">
        <v>6</v>
      </c>
      <c r="AV40" s="178"/>
      <c r="AW40" s="178"/>
      <c r="AX40" s="178">
        <v>493</v>
      </c>
      <c r="AY40" s="178">
        <v>34</v>
      </c>
      <c r="AZ40" s="178">
        <v>130</v>
      </c>
      <c r="BA40" s="178">
        <v>9</v>
      </c>
      <c r="BB40" s="178">
        <v>52</v>
      </c>
      <c r="BC40" s="178">
        <v>4</v>
      </c>
      <c r="BD40" s="178"/>
      <c r="BE40" s="178"/>
      <c r="BF40" s="178">
        <v>654</v>
      </c>
      <c r="BG40" s="178">
        <v>40</v>
      </c>
      <c r="BH40" s="178">
        <v>99</v>
      </c>
      <c r="BI40" s="178">
        <v>9</v>
      </c>
      <c r="BJ40" s="178">
        <v>29</v>
      </c>
      <c r="BK40" s="178">
        <v>2</v>
      </c>
      <c r="BL40" s="178"/>
      <c r="BM40" s="178"/>
      <c r="BP40" s="222"/>
      <c r="BQ40" s="177"/>
      <c r="BR40" s="222"/>
      <c r="BS40" s="177"/>
      <c r="BT40" s="222"/>
      <c r="BU40" s="177"/>
      <c r="BV40" s="222"/>
      <c r="BX40">
        <v>0.36980000000000002</v>
      </c>
      <c r="BY40" s="179">
        <f t="shared" si="9"/>
        <v>4722</v>
      </c>
      <c r="BZ40" s="179">
        <f t="shared" si="0"/>
        <v>290</v>
      </c>
      <c r="CA40" s="183">
        <f t="shared" si="11"/>
        <v>1746.1956</v>
      </c>
      <c r="CB40" s="183">
        <f t="shared" si="1"/>
        <v>6.0213641379310348</v>
      </c>
      <c r="CC40" s="179">
        <f>SUM(D40,J40,P40,V40,AB40,AJ40,AR40,AZ40,BH40)</f>
        <v>1473</v>
      </c>
      <c r="CD40" s="179">
        <f t="shared" si="2"/>
        <v>109</v>
      </c>
      <c r="CE40" s="183">
        <f>BX40*CC40</f>
        <v>544.71540000000005</v>
      </c>
      <c r="CF40" s="183">
        <f t="shared" si="3"/>
        <v>4.9973889908256881</v>
      </c>
      <c r="CG40" s="179">
        <f>SUM(F40,L40,R40,X40,AD40,AL40,AT40,BB40,BJ40)</f>
        <v>371</v>
      </c>
      <c r="CH40" s="179">
        <f t="shared" si="4"/>
        <v>28</v>
      </c>
      <c r="CI40" s="183">
        <f t="shared" si="5"/>
        <v>137.19580000000002</v>
      </c>
      <c r="CJ40">
        <f t="shared" si="10"/>
        <v>4.8998500000000007</v>
      </c>
    </row>
    <row r="41" spans="1:88">
      <c r="A41" s="177" t="s">
        <v>261</v>
      </c>
      <c r="B41" s="178">
        <v>6195</v>
      </c>
      <c r="C41" s="178">
        <v>60</v>
      </c>
      <c r="D41" s="178">
        <v>2250</v>
      </c>
      <c r="E41" s="178">
        <v>35</v>
      </c>
      <c r="F41" s="178">
        <v>224</v>
      </c>
      <c r="G41" s="178">
        <v>4</v>
      </c>
      <c r="H41" s="178">
        <v>5000</v>
      </c>
      <c r="I41" s="178">
        <v>54</v>
      </c>
      <c r="J41" s="178">
        <v>2410</v>
      </c>
      <c r="K41" s="178">
        <v>48</v>
      </c>
      <c r="L41" s="178">
        <v>244</v>
      </c>
      <c r="M41" s="178">
        <v>3</v>
      </c>
      <c r="N41" s="178">
        <v>5291</v>
      </c>
      <c r="O41" s="178">
        <v>57</v>
      </c>
      <c r="P41" s="178">
        <v>2212</v>
      </c>
      <c r="Q41" s="178">
        <v>50</v>
      </c>
      <c r="R41" s="178">
        <v>277</v>
      </c>
      <c r="S41" s="178">
        <v>6</v>
      </c>
      <c r="T41" s="178">
        <v>5759</v>
      </c>
      <c r="U41" s="178">
        <v>59</v>
      </c>
      <c r="V41" s="178">
        <v>3076</v>
      </c>
      <c r="W41" s="178">
        <v>59</v>
      </c>
      <c r="X41" s="178">
        <v>272</v>
      </c>
      <c r="Y41" s="178">
        <v>4</v>
      </c>
      <c r="Z41" s="178">
        <v>6600</v>
      </c>
      <c r="AA41" s="178">
        <v>69</v>
      </c>
      <c r="AB41" s="178">
        <v>3079</v>
      </c>
      <c r="AC41" s="178">
        <v>70</v>
      </c>
      <c r="AD41" s="178">
        <v>272</v>
      </c>
      <c r="AE41" s="178">
        <v>4</v>
      </c>
      <c r="AF41" s="178"/>
      <c r="AG41" s="178"/>
      <c r="AH41" s="178">
        <v>6804</v>
      </c>
      <c r="AI41" s="178">
        <v>74</v>
      </c>
      <c r="AJ41" s="178">
        <v>3175</v>
      </c>
      <c r="AK41" s="178">
        <v>64</v>
      </c>
      <c r="AL41" s="178">
        <v>230</v>
      </c>
      <c r="AM41" s="178">
        <v>5</v>
      </c>
      <c r="AN41" s="178"/>
      <c r="AO41" s="178"/>
      <c r="AP41" s="178">
        <v>6476</v>
      </c>
      <c r="AQ41" s="178">
        <v>72</v>
      </c>
      <c r="AR41" s="178">
        <v>4114</v>
      </c>
      <c r="AS41" s="178">
        <v>90</v>
      </c>
      <c r="AT41" s="178">
        <v>404</v>
      </c>
      <c r="AU41" s="178">
        <v>6</v>
      </c>
      <c r="AV41" s="178"/>
      <c r="AW41" s="178"/>
      <c r="AX41" s="178">
        <v>6538</v>
      </c>
      <c r="AY41" s="178">
        <v>72</v>
      </c>
      <c r="AZ41" s="178">
        <v>3130</v>
      </c>
      <c r="BA41" s="178">
        <v>70</v>
      </c>
      <c r="BB41" s="178">
        <v>212</v>
      </c>
      <c r="BC41" s="178">
        <v>5</v>
      </c>
      <c r="BD41" s="178"/>
      <c r="BE41" s="178"/>
      <c r="BF41" s="178">
        <v>6776</v>
      </c>
      <c r="BG41" s="178">
        <v>76</v>
      </c>
      <c r="BH41" s="178">
        <v>3158</v>
      </c>
      <c r="BI41" s="178">
        <v>62</v>
      </c>
      <c r="BJ41" s="178">
        <v>187</v>
      </c>
      <c r="BK41" s="178">
        <v>5</v>
      </c>
      <c r="BL41" s="178"/>
      <c r="BM41" s="178"/>
      <c r="BP41" s="222"/>
      <c r="BQ41" s="177"/>
      <c r="BR41" s="222">
        <f t="shared" si="7"/>
        <v>2928.625</v>
      </c>
      <c r="BS41" s="177"/>
      <c r="BT41" s="222"/>
      <c r="BU41" s="177"/>
      <c r="BV41" s="222"/>
      <c r="BX41">
        <v>0.188</v>
      </c>
      <c r="BY41" s="179">
        <f t="shared" si="9"/>
        <v>55439</v>
      </c>
      <c r="BZ41" s="179">
        <f t="shared" si="0"/>
        <v>593</v>
      </c>
      <c r="CA41" s="183">
        <f t="shared" si="11"/>
        <v>10422.531999999999</v>
      </c>
      <c r="CB41" s="183">
        <f t="shared" si="1"/>
        <v>17.57593929173693</v>
      </c>
      <c r="CC41" s="179">
        <f>SUM(D41,J41,P41,V41,AB41,AJ41,AR41,AZ41,BH41)</f>
        <v>26604</v>
      </c>
      <c r="CD41" s="179">
        <f t="shared" si="2"/>
        <v>548</v>
      </c>
      <c r="CE41" s="183">
        <f>BX41*CC41</f>
        <v>5001.5519999999997</v>
      </c>
      <c r="CF41" s="183">
        <f t="shared" si="3"/>
        <v>9.1269197080291971</v>
      </c>
      <c r="CG41" s="179">
        <f>SUM(F41,L41,R41,X41,AD41,AL41,AT41,BB41,BJ41)</f>
        <v>2322</v>
      </c>
      <c r="CH41" s="179">
        <f t="shared" si="4"/>
        <v>42</v>
      </c>
      <c r="CI41" s="183">
        <f t="shared" si="5"/>
        <v>436.536</v>
      </c>
      <c r="CJ41">
        <f t="shared" si="10"/>
        <v>10.393714285714285</v>
      </c>
    </row>
    <row r="42" spans="1:88">
      <c r="A42" s="177" t="s">
        <v>262</v>
      </c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>
        <v>8914</v>
      </c>
      <c r="U42" s="178">
        <v>35</v>
      </c>
      <c r="V42" s="178">
        <v>2477</v>
      </c>
      <c r="W42" s="178">
        <v>19</v>
      </c>
      <c r="X42" s="178">
        <v>720</v>
      </c>
      <c r="Y42" s="178">
        <v>6</v>
      </c>
      <c r="Z42" s="178">
        <v>18626</v>
      </c>
      <c r="AA42" s="178">
        <v>77</v>
      </c>
      <c r="AB42" s="178">
        <v>14543</v>
      </c>
      <c r="AC42" s="178">
        <v>123</v>
      </c>
      <c r="AD42" s="178">
        <v>3412</v>
      </c>
      <c r="AE42" s="178">
        <v>20</v>
      </c>
      <c r="AF42" s="178">
        <v>964</v>
      </c>
      <c r="AG42" s="178">
        <v>4</v>
      </c>
      <c r="AH42" s="178">
        <v>15170</v>
      </c>
      <c r="AI42" s="178">
        <v>66</v>
      </c>
      <c r="AJ42" s="178">
        <v>17136</v>
      </c>
      <c r="AK42" s="178">
        <v>166</v>
      </c>
      <c r="AL42" s="178">
        <v>4347</v>
      </c>
      <c r="AM42" s="178">
        <v>28</v>
      </c>
      <c r="AN42" s="178">
        <v>560</v>
      </c>
      <c r="AO42" s="178">
        <v>6</v>
      </c>
      <c r="AP42" s="178">
        <v>16526</v>
      </c>
      <c r="AQ42" s="178">
        <v>60</v>
      </c>
      <c r="AR42" s="178">
        <v>22482</v>
      </c>
      <c r="AS42" s="178">
        <v>200</v>
      </c>
      <c r="AT42" s="178">
        <v>4828</v>
      </c>
      <c r="AU42" s="178">
        <v>34</v>
      </c>
      <c r="AV42" s="178">
        <v>506</v>
      </c>
      <c r="AW42" s="178">
        <v>7</v>
      </c>
      <c r="AX42" s="178">
        <v>16454</v>
      </c>
      <c r="AY42" s="178">
        <v>77</v>
      </c>
      <c r="AZ42" s="178">
        <v>21552</v>
      </c>
      <c r="BA42" s="178">
        <v>191</v>
      </c>
      <c r="BB42" s="178">
        <v>4250</v>
      </c>
      <c r="BC42" s="178">
        <v>35</v>
      </c>
      <c r="BD42" s="178">
        <v>842</v>
      </c>
      <c r="BE42" s="178">
        <v>7</v>
      </c>
      <c r="BF42" s="178">
        <v>28282</v>
      </c>
      <c r="BG42" s="178">
        <v>120</v>
      </c>
      <c r="BH42" s="178">
        <v>28043</v>
      </c>
      <c r="BI42" s="178">
        <v>268</v>
      </c>
      <c r="BJ42" s="178">
        <v>5554</v>
      </c>
      <c r="BK42" s="178">
        <v>36</v>
      </c>
      <c r="BL42" s="178">
        <v>1174</v>
      </c>
      <c r="BM42" s="178">
        <v>9</v>
      </c>
      <c r="BP42" s="222">
        <f t="shared" si="6"/>
        <v>17760.400000000001</v>
      </c>
      <c r="BQ42" s="177"/>
      <c r="BR42" s="222">
        <f t="shared" si="7"/>
        <v>17819.400000000001</v>
      </c>
      <c r="BS42" s="177"/>
      <c r="BT42" s="222">
        <f t="shared" si="8"/>
        <v>3752.8</v>
      </c>
      <c r="BU42" s="222"/>
      <c r="BV42" s="222">
        <f t="shared" si="12"/>
        <v>809.2</v>
      </c>
      <c r="BX42">
        <v>0.57999999999999996</v>
      </c>
      <c r="BY42" s="179">
        <f t="shared" si="9"/>
        <v>103972</v>
      </c>
      <c r="BZ42" s="179">
        <f t="shared" si="0"/>
        <v>435</v>
      </c>
      <c r="CA42" s="183">
        <f t="shared" si="11"/>
        <v>60303.759999999995</v>
      </c>
      <c r="CB42" s="183">
        <f t="shared" si="1"/>
        <v>138.62933333333334</v>
      </c>
      <c r="CC42" s="179">
        <f>SUM(D42,J42,P42,V42,AB42,AJ42,AR42,AZ42,BH42)</f>
        <v>106233</v>
      </c>
      <c r="CD42" s="179">
        <f t="shared" si="2"/>
        <v>967</v>
      </c>
      <c r="CE42" s="183">
        <f>BX42*CC42</f>
        <v>61615.139999999992</v>
      </c>
      <c r="CF42" s="183">
        <f t="shared" si="3"/>
        <v>63.717828335056872</v>
      </c>
      <c r="CG42" s="179">
        <f>SUM(F42,L42,R42,X42,AD42,AL42,AT42,BB42,BJ42)</f>
        <v>23111</v>
      </c>
      <c r="CH42" s="179">
        <f t="shared" si="4"/>
        <v>159</v>
      </c>
      <c r="CI42" s="183">
        <f t="shared" si="5"/>
        <v>13404.38</v>
      </c>
      <c r="CJ42">
        <f t="shared" si="10"/>
        <v>84.304276729559746</v>
      </c>
    </row>
    <row r="43" spans="1:88">
      <c r="A43" s="177" t="s">
        <v>263</v>
      </c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>
        <v>3114</v>
      </c>
      <c r="U43" s="178">
        <v>38</v>
      </c>
      <c r="V43" s="178">
        <v>2354</v>
      </c>
      <c r="W43" s="178">
        <v>47</v>
      </c>
      <c r="X43" s="178">
        <v>152</v>
      </c>
      <c r="Y43" s="178">
        <v>4</v>
      </c>
      <c r="Z43" s="178">
        <v>14409</v>
      </c>
      <c r="AA43" s="178">
        <v>171</v>
      </c>
      <c r="AB43" s="178">
        <v>8756</v>
      </c>
      <c r="AC43" s="178">
        <v>170</v>
      </c>
      <c r="AD43" s="178">
        <v>501</v>
      </c>
      <c r="AE43" s="178">
        <v>10</v>
      </c>
      <c r="AF43" s="178"/>
      <c r="AG43" s="178"/>
      <c r="AH43" s="178">
        <v>16216</v>
      </c>
      <c r="AI43" s="178">
        <v>191</v>
      </c>
      <c r="AJ43" s="178">
        <v>11672</v>
      </c>
      <c r="AK43" s="178">
        <v>232</v>
      </c>
      <c r="AL43" s="178">
        <v>1025</v>
      </c>
      <c r="AM43" s="178">
        <v>22</v>
      </c>
      <c r="AN43" s="178"/>
      <c r="AO43" s="178"/>
      <c r="AP43" s="178">
        <v>11689</v>
      </c>
      <c r="AQ43" s="178">
        <v>141</v>
      </c>
      <c r="AR43" s="178">
        <v>11107</v>
      </c>
      <c r="AS43" s="178">
        <v>245</v>
      </c>
      <c r="AT43" s="178">
        <v>462</v>
      </c>
      <c r="AU43" s="178">
        <v>12</v>
      </c>
      <c r="AV43" s="178"/>
      <c r="AW43" s="178"/>
      <c r="AX43" s="178">
        <v>6007</v>
      </c>
      <c r="AY43" s="178">
        <v>73</v>
      </c>
      <c r="AZ43" s="178">
        <v>5442</v>
      </c>
      <c r="BA43" s="178">
        <v>112</v>
      </c>
      <c r="BB43" s="178">
        <v>273</v>
      </c>
      <c r="BC43" s="178">
        <v>5</v>
      </c>
      <c r="BD43" s="178"/>
      <c r="BE43" s="178"/>
      <c r="BF43" s="178">
        <v>6158</v>
      </c>
      <c r="BG43" s="178">
        <v>68</v>
      </c>
      <c r="BH43" s="178">
        <v>5236</v>
      </c>
      <c r="BI43" s="178">
        <v>92</v>
      </c>
      <c r="BJ43" s="178">
        <v>190</v>
      </c>
      <c r="BK43" s="178">
        <v>6</v>
      </c>
      <c r="BL43" s="178"/>
      <c r="BM43" s="178"/>
      <c r="BP43" s="222"/>
      <c r="BQ43" s="177"/>
      <c r="BR43" s="222">
        <f t="shared" si="7"/>
        <v>6579</v>
      </c>
      <c r="BS43" s="177"/>
      <c r="BT43" s="222"/>
      <c r="BU43" s="177"/>
      <c r="BV43" s="222"/>
      <c r="BX43">
        <v>0.14899999999999999</v>
      </c>
      <c r="BY43" s="179">
        <f t="shared" si="9"/>
        <v>57593</v>
      </c>
      <c r="BZ43" s="179">
        <f t="shared" si="0"/>
        <v>682</v>
      </c>
      <c r="CA43" s="183">
        <f t="shared" si="11"/>
        <v>8581.357</v>
      </c>
      <c r="CB43" s="183">
        <f t="shared" si="1"/>
        <v>12.582634897360704</v>
      </c>
      <c r="CC43" s="179">
        <f>SUM(D43,J43,P43,V43,AB43,AJ43,AR43,AZ43,BH43)</f>
        <v>44567</v>
      </c>
      <c r="CD43" s="179">
        <f t="shared" si="2"/>
        <v>898</v>
      </c>
      <c r="CE43" s="183">
        <f>BX43*CC43</f>
        <v>6640.4829999999993</v>
      </c>
      <c r="CF43" s="183">
        <f t="shared" si="3"/>
        <v>7.3947472160356336</v>
      </c>
      <c r="CG43" s="179">
        <f>SUM(F43,L43,R43,X43,AD43,AL43,AT43,BB43,BJ43)</f>
        <v>2603</v>
      </c>
      <c r="CH43" s="179">
        <f t="shared" si="4"/>
        <v>59</v>
      </c>
      <c r="CI43" s="183">
        <f t="shared" si="5"/>
        <v>387.84699999999998</v>
      </c>
      <c r="CJ43">
        <f t="shared" si="10"/>
        <v>6.5736779661016946</v>
      </c>
    </row>
    <row r="44" spans="1:88">
      <c r="A44" s="177" t="s">
        <v>264</v>
      </c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>
        <v>2938</v>
      </c>
      <c r="U44" s="178">
        <v>10</v>
      </c>
      <c r="V44" s="178">
        <v>275</v>
      </c>
      <c r="W44" s="178">
        <v>1</v>
      </c>
      <c r="X44" s="178">
        <v>368</v>
      </c>
      <c r="Y44" s="178">
        <v>1</v>
      </c>
      <c r="Z44" s="178">
        <v>23772</v>
      </c>
      <c r="AA44" s="178">
        <v>84</v>
      </c>
      <c r="AB44" s="178">
        <v>1840</v>
      </c>
      <c r="AC44" s="178">
        <v>9</v>
      </c>
      <c r="AD44" s="178">
        <v>3782</v>
      </c>
      <c r="AE44" s="178">
        <v>18</v>
      </c>
      <c r="AF44" s="178"/>
      <c r="AG44" s="178"/>
      <c r="AH44" s="178">
        <v>36340</v>
      </c>
      <c r="AI44" s="178">
        <v>125</v>
      </c>
      <c r="AJ44" s="178">
        <v>2404</v>
      </c>
      <c r="AK44" s="178">
        <v>13</v>
      </c>
      <c r="AL44" s="178">
        <v>3536</v>
      </c>
      <c r="AM44" s="178">
        <v>23</v>
      </c>
      <c r="AN44" s="178">
        <v>100</v>
      </c>
      <c r="AO44" s="178">
        <v>1</v>
      </c>
      <c r="AP44" s="178">
        <v>21907</v>
      </c>
      <c r="AQ44" s="178">
        <v>77</v>
      </c>
      <c r="AR44" s="178">
        <v>2359</v>
      </c>
      <c r="AS44" s="178">
        <v>16</v>
      </c>
      <c r="AT44" s="178">
        <v>4418</v>
      </c>
      <c r="AU44" s="178">
        <v>24</v>
      </c>
      <c r="AV44" s="178">
        <v>396</v>
      </c>
      <c r="AW44" s="178">
        <v>3</v>
      </c>
      <c r="AX44" s="178">
        <v>26480</v>
      </c>
      <c r="AY44" s="178">
        <v>93</v>
      </c>
      <c r="AZ44" s="178">
        <v>2685</v>
      </c>
      <c r="BA44" s="178">
        <v>18</v>
      </c>
      <c r="BB44" s="178">
        <v>5690</v>
      </c>
      <c r="BC44" s="178">
        <v>33</v>
      </c>
      <c r="BD44" s="178">
        <v>578</v>
      </c>
      <c r="BE44" s="178">
        <v>4</v>
      </c>
      <c r="BF44" s="178">
        <v>53100</v>
      </c>
      <c r="BG44" s="178">
        <v>178</v>
      </c>
      <c r="BH44" s="178">
        <v>5121</v>
      </c>
      <c r="BI44" s="178">
        <v>28</v>
      </c>
      <c r="BJ44" s="178">
        <v>7001</v>
      </c>
      <c r="BK44" s="178">
        <v>40</v>
      </c>
      <c r="BL44" s="178">
        <v>336</v>
      </c>
      <c r="BM44" s="178">
        <v>2</v>
      </c>
      <c r="BP44" s="222">
        <f t="shared" si="6"/>
        <v>25639.4</v>
      </c>
      <c r="BQ44" s="177"/>
      <c r="BR44" s="222">
        <f t="shared" si="7"/>
        <v>2456</v>
      </c>
      <c r="BS44" s="177"/>
      <c r="BT44" s="222">
        <f t="shared" si="8"/>
        <v>4251.8</v>
      </c>
      <c r="BU44" s="177"/>
      <c r="BV44" s="222">
        <f t="shared" si="12"/>
        <v>352.5</v>
      </c>
      <c r="BX44">
        <v>6.9599999999999995E-2</v>
      </c>
      <c r="BY44" s="179">
        <f t="shared" si="9"/>
        <v>164537</v>
      </c>
      <c r="BZ44" s="179">
        <f t="shared" si="0"/>
        <v>567</v>
      </c>
      <c r="CA44" s="183">
        <f t="shared" si="11"/>
        <v>11451.7752</v>
      </c>
      <c r="CB44" s="183">
        <f t="shared" si="1"/>
        <v>20.197134391534391</v>
      </c>
      <c r="CC44" s="179">
        <f>SUM(D44,J44,P44,V44,AB44,AJ44,AR44,AZ44,BH44)</f>
        <v>14684</v>
      </c>
      <c r="CD44" s="179">
        <f t="shared" si="2"/>
        <v>85</v>
      </c>
      <c r="CE44" s="183">
        <f>BX44*CC44</f>
        <v>1022.0064</v>
      </c>
      <c r="CF44" s="183">
        <f t="shared" si="3"/>
        <v>12.023604705882352</v>
      </c>
      <c r="CG44" s="179">
        <f>SUM(F44,L44,R44,X44,AD44,AL44,AT44,BB44,BJ44)</f>
        <v>24795</v>
      </c>
      <c r="CH44" s="179">
        <f t="shared" si="4"/>
        <v>139</v>
      </c>
      <c r="CI44" s="183">
        <f t="shared" si="5"/>
        <v>1725.732</v>
      </c>
      <c r="CJ44">
        <f t="shared" si="10"/>
        <v>12.415338129496403</v>
      </c>
    </row>
    <row r="45" spans="1:88">
      <c r="A45" s="177" t="s">
        <v>265</v>
      </c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>
        <v>36929</v>
      </c>
      <c r="AA45" s="178">
        <v>410</v>
      </c>
      <c r="AB45" s="178">
        <v>14435</v>
      </c>
      <c r="AC45" s="178">
        <v>258</v>
      </c>
      <c r="AD45" s="178">
        <v>1510</v>
      </c>
      <c r="AE45" s="178">
        <v>21</v>
      </c>
      <c r="AF45" s="178"/>
      <c r="AG45" s="178"/>
      <c r="AH45" s="178">
        <v>54214</v>
      </c>
      <c r="AI45" s="178">
        <v>601</v>
      </c>
      <c r="AJ45" s="178">
        <v>21228</v>
      </c>
      <c r="AK45" s="178">
        <v>428</v>
      </c>
      <c r="AL45" s="178">
        <v>2021</v>
      </c>
      <c r="AM45" s="178">
        <v>39</v>
      </c>
      <c r="AN45" s="178"/>
      <c r="AO45" s="178"/>
      <c r="AP45" s="178">
        <v>55094</v>
      </c>
      <c r="AQ45" s="178">
        <v>615</v>
      </c>
      <c r="AR45" s="178">
        <v>24124</v>
      </c>
      <c r="AS45" s="178">
        <v>505</v>
      </c>
      <c r="AT45" s="178">
        <v>2090</v>
      </c>
      <c r="AU45" s="178">
        <v>42</v>
      </c>
      <c r="AV45" s="178"/>
      <c r="AW45" s="178"/>
      <c r="AX45" s="178">
        <v>52671</v>
      </c>
      <c r="AY45" s="178">
        <v>588</v>
      </c>
      <c r="AZ45" s="178">
        <v>24977</v>
      </c>
      <c r="BA45" s="178">
        <v>491</v>
      </c>
      <c r="BB45" s="178">
        <v>2463</v>
      </c>
      <c r="BC45" s="178">
        <v>43</v>
      </c>
      <c r="BD45" s="178"/>
      <c r="BE45" s="178"/>
      <c r="BF45" s="178">
        <v>66354</v>
      </c>
      <c r="BG45" s="178">
        <v>742</v>
      </c>
      <c r="BH45" s="178">
        <v>28950</v>
      </c>
      <c r="BI45" s="178">
        <v>565</v>
      </c>
      <c r="BJ45" s="178">
        <v>2216</v>
      </c>
      <c r="BK45" s="178">
        <v>46</v>
      </c>
      <c r="BL45" s="178"/>
      <c r="BM45" s="178"/>
      <c r="BP45" s="222">
        <f t="shared" si="6"/>
        <v>52762</v>
      </c>
      <c r="BQ45" s="177"/>
      <c r="BR45" s="222">
        <f t="shared" si="7"/>
        <v>23121.5</v>
      </c>
      <c r="BS45" s="177"/>
      <c r="BT45" s="222"/>
      <c r="BU45" s="177"/>
      <c r="BV45" s="222"/>
      <c r="BX45">
        <v>0.155</v>
      </c>
      <c r="BY45" s="179">
        <f t="shared" si="9"/>
        <v>265262</v>
      </c>
      <c r="BZ45" s="179">
        <f t="shared" si="0"/>
        <v>2956</v>
      </c>
      <c r="CA45" s="183">
        <f t="shared" si="11"/>
        <v>41115.61</v>
      </c>
      <c r="CB45" s="183">
        <f t="shared" si="1"/>
        <v>13.9092050067659</v>
      </c>
      <c r="CC45" s="179">
        <f>SUM(D45,J45,P45,V45,AB45,AJ45,AR45,AZ45,BH45)</f>
        <v>113714</v>
      </c>
      <c r="CD45" s="179">
        <f t="shared" si="2"/>
        <v>2247</v>
      </c>
      <c r="CE45" s="183">
        <f>BX45*CC45</f>
        <v>17625.669999999998</v>
      </c>
      <c r="CF45" s="183">
        <f t="shared" si="3"/>
        <v>7.8440898976412985</v>
      </c>
      <c r="CG45" s="179">
        <f>SUM(F45,L45,R45,X45,AD45,AL45,AT45,BB45,BJ45)</f>
        <v>10300</v>
      </c>
      <c r="CH45" s="179">
        <f t="shared" si="4"/>
        <v>191</v>
      </c>
      <c r="CI45" s="183">
        <f t="shared" si="5"/>
        <v>1596.5</v>
      </c>
      <c r="CJ45">
        <f t="shared" si="10"/>
        <v>8.3586387434554972</v>
      </c>
    </row>
    <row r="46" spans="1:88">
      <c r="A46" s="177" t="s">
        <v>266</v>
      </c>
      <c r="B46" s="178">
        <v>460</v>
      </c>
      <c r="C46" s="178">
        <v>4</v>
      </c>
      <c r="D46" s="178">
        <v>53</v>
      </c>
      <c r="E46" s="178">
        <v>5</v>
      </c>
      <c r="F46" s="178"/>
      <c r="G46" s="178"/>
      <c r="H46" s="178">
        <v>1161</v>
      </c>
      <c r="I46" s="178">
        <v>15</v>
      </c>
      <c r="J46" s="178">
        <v>134</v>
      </c>
      <c r="K46" s="178">
        <v>11</v>
      </c>
      <c r="L46" s="178">
        <v>25</v>
      </c>
      <c r="M46" s="178">
        <v>2</v>
      </c>
      <c r="N46" s="178">
        <v>1270</v>
      </c>
      <c r="O46" s="178">
        <v>20</v>
      </c>
      <c r="P46" s="178">
        <v>58</v>
      </c>
      <c r="Q46" s="178">
        <v>5</v>
      </c>
      <c r="R46" s="178">
        <v>20</v>
      </c>
      <c r="S46" s="178">
        <v>2</v>
      </c>
      <c r="T46" s="178">
        <v>771</v>
      </c>
      <c r="U46" s="178">
        <v>15</v>
      </c>
      <c r="V46" s="178">
        <v>51</v>
      </c>
      <c r="W46" s="178">
        <v>4</v>
      </c>
      <c r="X46" s="178">
        <v>12</v>
      </c>
      <c r="Y46" s="178">
        <v>2</v>
      </c>
      <c r="Z46" s="178">
        <v>1889</v>
      </c>
      <c r="AA46" s="178">
        <v>25</v>
      </c>
      <c r="AB46" s="178">
        <v>82</v>
      </c>
      <c r="AC46" s="178">
        <v>5</v>
      </c>
      <c r="AD46" s="178"/>
      <c r="AE46" s="178"/>
      <c r="AF46" s="178"/>
      <c r="AG46" s="178"/>
      <c r="AH46" s="178">
        <v>1174</v>
      </c>
      <c r="AI46" s="178">
        <v>14</v>
      </c>
      <c r="AJ46" s="178">
        <v>18</v>
      </c>
      <c r="AK46" s="178">
        <v>2</v>
      </c>
      <c r="AL46" s="178">
        <v>12</v>
      </c>
      <c r="AM46" s="178">
        <v>2</v>
      </c>
      <c r="AN46" s="178"/>
      <c r="AO46" s="178"/>
      <c r="AP46" s="178">
        <v>818</v>
      </c>
      <c r="AQ46" s="178">
        <v>13</v>
      </c>
      <c r="AR46" s="178">
        <v>77</v>
      </c>
      <c r="AS46" s="178">
        <v>3</v>
      </c>
      <c r="AT46" s="178">
        <v>3</v>
      </c>
      <c r="AU46" s="178">
        <v>1</v>
      </c>
      <c r="AV46" s="178"/>
      <c r="AW46" s="178"/>
      <c r="AX46" s="178">
        <v>395</v>
      </c>
      <c r="AY46" s="178">
        <v>6</v>
      </c>
      <c r="AZ46" s="178">
        <v>8</v>
      </c>
      <c r="BA46" s="178">
        <v>2</v>
      </c>
      <c r="BB46" s="178"/>
      <c r="BC46" s="178"/>
      <c r="BD46" s="178"/>
      <c r="BE46" s="178"/>
      <c r="BF46" s="178">
        <v>309</v>
      </c>
      <c r="BG46" s="178">
        <v>7</v>
      </c>
      <c r="BH46" s="178">
        <v>33</v>
      </c>
      <c r="BI46" s="178">
        <v>2</v>
      </c>
      <c r="BJ46" s="178">
        <v>4</v>
      </c>
      <c r="BK46" s="178">
        <v>1</v>
      </c>
      <c r="BL46" s="178"/>
      <c r="BM46" s="178"/>
      <c r="BP46" s="222"/>
      <c r="BQ46" s="177"/>
      <c r="BR46" s="222"/>
      <c r="BS46" s="177"/>
      <c r="BT46" s="222"/>
      <c r="BU46" s="177"/>
      <c r="BV46" s="222"/>
      <c r="BX46">
        <v>3.2294999999999998</v>
      </c>
      <c r="BY46" s="179">
        <f t="shared" si="9"/>
        <v>8247</v>
      </c>
      <c r="BZ46" s="179">
        <f t="shared" si="0"/>
        <v>119</v>
      </c>
      <c r="CA46" s="183">
        <f t="shared" si="11"/>
        <v>26633.6865</v>
      </c>
      <c r="CB46" s="183">
        <f t="shared" si="1"/>
        <v>223.81249159663867</v>
      </c>
      <c r="CC46" s="179">
        <f>SUM(D46,J46,P46,V46,AB46,AJ46,AR46,AZ46,BH46)</f>
        <v>514</v>
      </c>
      <c r="CD46" s="179">
        <f t="shared" si="2"/>
        <v>39</v>
      </c>
      <c r="CE46" s="183">
        <f>BX46*CC46</f>
        <v>1659.963</v>
      </c>
      <c r="CF46" s="183">
        <f t="shared" si="3"/>
        <v>42.563153846153845</v>
      </c>
      <c r="CG46" s="179">
        <f>SUM(F46,L46,R46,X46,AD46,AL46,AT46,BB46,BJ46)</f>
        <v>76</v>
      </c>
      <c r="CH46" s="179">
        <f t="shared" si="4"/>
        <v>10</v>
      </c>
      <c r="CI46" s="183">
        <f t="shared" si="5"/>
        <v>245.44199999999998</v>
      </c>
      <c r="CJ46">
        <f t="shared" si="10"/>
        <v>24.544199999999996</v>
      </c>
    </row>
    <row r="47" spans="1:88">
      <c r="A47" s="177" t="s">
        <v>267</v>
      </c>
      <c r="B47" s="178">
        <v>7</v>
      </c>
      <c r="C47" s="178">
        <v>5</v>
      </c>
      <c r="D47" s="178">
        <v>6</v>
      </c>
      <c r="E47" s="178">
        <v>4</v>
      </c>
      <c r="F47" s="178"/>
      <c r="G47" s="178"/>
      <c r="H47" s="178">
        <v>5</v>
      </c>
      <c r="I47" s="178">
        <v>4</v>
      </c>
      <c r="J47" s="178"/>
      <c r="K47" s="178"/>
      <c r="L47" s="178"/>
      <c r="M47" s="178"/>
      <c r="N47" s="178">
        <v>8</v>
      </c>
      <c r="O47" s="178">
        <v>3</v>
      </c>
      <c r="P47" s="178"/>
      <c r="Q47" s="178"/>
      <c r="R47" s="178">
        <v>1</v>
      </c>
      <c r="S47" s="178">
        <v>1</v>
      </c>
      <c r="T47" s="178">
        <v>3</v>
      </c>
      <c r="U47" s="178">
        <v>3</v>
      </c>
      <c r="V47" s="178">
        <v>3</v>
      </c>
      <c r="W47" s="178">
        <v>2</v>
      </c>
      <c r="X47" s="178"/>
      <c r="Y47" s="178"/>
      <c r="Z47" s="178">
        <v>3</v>
      </c>
      <c r="AA47" s="178">
        <v>3</v>
      </c>
      <c r="AB47" s="178">
        <v>1</v>
      </c>
      <c r="AC47" s="178">
        <v>1</v>
      </c>
      <c r="AD47" s="178"/>
      <c r="AE47" s="178"/>
      <c r="AF47" s="178"/>
      <c r="AG47" s="178"/>
      <c r="AH47" s="178">
        <v>2</v>
      </c>
      <c r="AI47" s="178">
        <v>1</v>
      </c>
      <c r="AJ47" s="178"/>
      <c r="AK47" s="178"/>
      <c r="AL47" s="178"/>
      <c r="AM47" s="178"/>
      <c r="AN47" s="178"/>
      <c r="AO47" s="178"/>
      <c r="AP47" s="178">
        <v>2</v>
      </c>
      <c r="AQ47" s="178">
        <v>2</v>
      </c>
      <c r="AR47" s="178">
        <v>1</v>
      </c>
      <c r="AS47" s="178">
        <v>1</v>
      </c>
      <c r="AT47" s="178"/>
      <c r="AU47" s="178"/>
      <c r="AV47" s="178"/>
      <c r="AW47" s="178"/>
      <c r="AX47" s="178">
        <v>5</v>
      </c>
      <c r="AY47" s="178">
        <v>3</v>
      </c>
      <c r="AZ47" s="178"/>
      <c r="BA47" s="178"/>
      <c r="BB47" s="178"/>
      <c r="BC47" s="178"/>
      <c r="BD47" s="178"/>
      <c r="BE47" s="178"/>
      <c r="BF47" s="178"/>
      <c r="BG47" s="178"/>
      <c r="BH47" s="178"/>
      <c r="BI47" s="178"/>
      <c r="BJ47" s="178"/>
      <c r="BK47" s="178"/>
      <c r="BL47" s="178"/>
      <c r="BM47" s="178"/>
      <c r="BP47" s="222"/>
      <c r="BQ47" s="177"/>
      <c r="BR47" s="222"/>
      <c r="BS47" s="177"/>
      <c r="BT47" s="222"/>
      <c r="BU47" s="177"/>
      <c r="BV47" s="222"/>
      <c r="BX47">
        <v>4.8</v>
      </c>
      <c r="BY47" s="179">
        <f t="shared" si="9"/>
        <v>35</v>
      </c>
      <c r="BZ47" s="179">
        <f t="shared" si="0"/>
        <v>24</v>
      </c>
      <c r="CA47" s="183">
        <f t="shared" si="11"/>
        <v>168</v>
      </c>
      <c r="CB47" s="183">
        <f t="shared" si="1"/>
        <v>7</v>
      </c>
      <c r="CC47" s="179">
        <f>SUM(D47,J47,P47,V47,AB47,AJ47,AR47,AZ47,BH47)</f>
        <v>11</v>
      </c>
      <c r="CD47" s="179">
        <f t="shared" si="2"/>
        <v>8</v>
      </c>
      <c r="CE47" s="183">
        <f>BX47*CC47</f>
        <v>52.8</v>
      </c>
      <c r="CF47" s="183">
        <f t="shared" si="3"/>
        <v>6.6</v>
      </c>
      <c r="CG47" s="179">
        <f>SUM(F47,L47,R47,X47,AD47,AL47,AT47,BB47,BJ47)</f>
        <v>1</v>
      </c>
      <c r="CH47" s="179">
        <f t="shared" si="4"/>
        <v>1</v>
      </c>
      <c r="CI47" s="183">
        <f t="shared" si="5"/>
        <v>4.8</v>
      </c>
      <c r="CJ47">
        <f t="shared" si="10"/>
        <v>4.8</v>
      </c>
    </row>
    <row r="48" spans="1:88">
      <c r="A48" s="177" t="s">
        <v>268</v>
      </c>
      <c r="B48" s="178">
        <v>599</v>
      </c>
      <c r="C48" s="178">
        <v>289</v>
      </c>
      <c r="D48" s="178">
        <v>197</v>
      </c>
      <c r="E48" s="178">
        <v>116</v>
      </c>
      <c r="F48" s="178">
        <v>37</v>
      </c>
      <c r="G48" s="178">
        <v>21</v>
      </c>
      <c r="H48" s="178">
        <v>649</v>
      </c>
      <c r="I48" s="178">
        <v>314</v>
      </c>
      <c r="J48" s="178">
        <v>185</v>
      </c>
      <c r="K48" s="178">
        <v>131</v>
      </c>
      <c r="L48" s="178">
        <v>57</v>
      </c>
      <c r="M48" s="178">
        <v>34</v>
      </c>
      <c r="N48" s="178">
        <v>612</v>
      </c>
      <c r="O48" s="178">
        <v>285</v>
      </c>
      <c r="P48" s="178">
        <v>173</v>
      </c>
      <c r="Q48" s="178">
        <v>117</v>
      </c>
      <c r="R48" s="178">
        <v>50</v>
      </c>
      <c r="S48" s="178">
        <v>31</v>
      </c>
      <c r="T48" s="178">
        <v>629</v>
      </c>
      <c r="U48" s="178">
        <v>300</v>
      </c>
      <c r="V48" s="178">
        <v>225</v>
      </c>
      <c r="W48" s="178">
        <v>132</v>
      </c>
      <c r="X48" s="178">
        <v>82</v>
      </c>
      <c r="Y48" s="178">
        <v>42</v>
      </c>
      <c r="Z48" s="178">
        <v>738</v>
      </c>
      <c r="AA48" s="178">
        <v>366</v>
      </c>
      <c r="AB48" s="178">
        <v>167</v>
      </c>
      <c r="AC48" s="178">
        <v>104</v>
      </c>
      <c r="AD48" s="178">
        <v>47</v>
      </c>
      <c r="AE48" s="178">
        <v>27</v>
      </c>
      <c r="AF48" s="178"/>
      <c r="AG48" s="178"/>
      <c r="AH48" s="178">
        <v>662</v>
      </c>
      <c r="AI48" s="178">
        <v>330</v>
      </c>
      <c r="AJ48" s="178">
        <v>163</v>
      </c>
      <c r="AK48" s="178">
        <v>109</v>
      </c>
      <c r="AL48" s="178">
        <v>61</v>
      </c>
      <c r="AM48" s="178">
        <v>35</v>
      </c>
      <c r="AN48" s="178"/>
      <c r="AO48" s="178"/>
      <c r="AP48" s="178">
        <v>625</v>
      </c>
      <c r="AQ48" s="178">
        <v>293</v>
      </c>
      <c r="AR48" s="178">
        <v>166</v>
      </c>
      <c r="AS48" s="178">
        <v>106</v>
      </c>
      <c r="AT48" s="178">
        <v>50</v>
      </c>
      <c r="AU48" s="178">
        <v>31</v>
      </c>
      <c r="AV48" s="178"/>
      <c r="AW48" s="178"/>
      <c r="AX48" s="178">
        <v>478</v>
      </c>
      <c r="AY48" s="178">
        <v>242</v>
      </c>
      <c r="AZ48" s="178">
        <v>137</v>
      </c>
      <c r="BA48" s="178">
        <v>99</v>
      </c>
      <c r="BB48" s="178">
        <v>45</v>
      </c>
      <c r="BC48" s="178">
        <v>26</v>
      </c>
      <c r="BD48" s="178"/>
      <c r="BE48" s="178"/>
      <c r="BF48" s="178">
        <v>499</v>
      </c>
      <c r="BG48" s="178">
        <v>310</v>
      </c>
      <c r="BH48" s="178">
        <v>120</v>
      </c>
      <c r="BI48" s="178">
        <v>87</v>
      </c>
      <c r="BJ48" s="178">
        <v>32</v>
      </c>
      <c r="BK48" s="178">
        <v>25</v>
      </c>
      <c r="BL48" s="178"/>
      <c r="BM48" s="178"/>
      <c r="BP48" s="222"/>
      <c r="BQ48" s="177"/>
      <c r="BR48" s="222"/>
      <c r="BS48" s="177"/>
      <c r="BT48" s="222"/>
      <c r="BU48" s="177"/>
      <c r="BV48" s="222"/>
      <c r="BX48">
        <v>4.8</v>
      </c>
      <c r="BY48" s="179">
        <f t="shared" si="9"/>
        <v>5491</v>
      </c>
      <c r="BZ48" s="179">
        <f t="shared" si="0"/>
        <v>2729</v>
      </c>
      <c r="CA48" s="183">
        <f t="shared" si="11"/>
        <v>26356.799999999999</v>
      </c>
      <c r="CB48" s="183">
        <f t="shared" si="1"/>
        <v>9.6580432392817883</v>
      </c>
      <c r="CC48" s="179">
        <f>SUM(D48,J48,P48,V48,AB48,AJ48,AR48,AZ48,BH48)</f>
        <v>1533</v>
      </c>
      <c r="CD48" s="179">
        <f t="shared" si="2"/>
        <v>1001</v>
      </c>
      <c r="CE48" s="183">
        <f>BX48*CC48</f>
        <v>7358.4</v>
      </c>
      <c r="CF48" s="183">
        <f t="shared" si="3"/>
        <v>7.3510489510489503</v>
      </c>
      <c r="CG48" s="179">
        <f>SUM(F48,L48,R48,X48,AD48,AL48,AT48,BB48,BJ48)</f>
        <v>461</v>
      </c>
      <c r="CH48" s="179">
        <f t="shared" si="4"/>
        <v>272</v>
      </c>
      <c r="CI48" s="183">
        <f t="shared" si="5"/>
        <v>2212.7999999999997</v>
      </c>
      <c r="CJ48">
        <f t="shared" si="10"/>
        <v>8.1352941176470583</v>
      </c>
    </row>
    <row r="49" spans="1:88">
      <c r="A49" s="177" t="s">
        <v>269</v>
      </c>
      <c r="B49" s="178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78"/>
      <c r="BA49" s="178"/>
      <c r="BB49" s="178"/>
      <c r="BC49" s="178"/>
      <c r="BD49" s="178"/>
      <c r="BE49" s="178"/>
      <c r="BF49" s="178">
        <v>256</v>
      </c>
      <c r="BG49" s="178">
        <v>94</v>
      </c>
      <c r="BH49" s="178">
        <v>13</v>
      </c>
      <c r="BI49" s="178">
        <v>10</v>
      </c>
      <c r="BJ49" s="178">
        <v>2</v>
      </c>
      <c r="BK49" s="178">
        <v>2</v>
      </c>
      <c r="BL49" s="178"/>
      <c r="BM49" s="178"/>
      <c r="BP49" s="222"/>
      <c r="BQ49" s="177"/>
      <c r="BR49" s="222"/>
      <c r="BS49" s="177"/>
      <c r="BT49" s="222"/>
      <c r="BU49" s="177"/>
      <c r="BV49" s="222"/>
      <c r="BX49">
        <v>30.99</v>
      </c>
      <c r="BY49" s="179">
        <f t="shared" si="9"/>
        <v>256</v>
      </c>
      <c r="BZ49" s="179">
        <f t="shared" si="0"/>
        <v>94</v>
      </c>
      <c r="CA49" s="183">
        <f t="shared" si="11"/>
        <v>7933.44</v>
      </c>
      <c r="CB49" s="183">
        <f t="shared" si="1"/>
        <v>84.398297872340422</v>
      </c>
      <c r="CC49" s="179">
        <f>SUM(D49,J49,P49,V49,AB49,AJ49,AR49,AZ49,BH49)</f>
        <v>13</v>
      </c>
      <c r="CD49" s="179">
        <f t="shared" si="2"/>
        <v>10</v>
      </c>
      <c r="CE49" s="183">
        <f>BX49*CC49</f>
        <v>402.87</v>
      </c>
      <c r="CF49" s="183">
        <f t="shared" si="3"/>
        <v>40.286999999999999</v>
      </c>
      <c r="CG49" s="179">
        <f>SUM(F49,L49,R49,X49,AD49,AL49,AT49,BB49,BJ49)</f>
        <v>2</v>
      </c>
      <c r="CH49" s="179">
        <f t="shared" si="4"/>
        <v>2</v>
      </c>
      <c r="CI49" s="183">
        <f t="shared" si="5"/>
        <v>61.98</v>
      </c>
      <c r="CJ49">
        <f t="shared" si="10"/>
        <v>30.99</v>
      </c>
    </row>
    <row r="50" spans="1:88">
      <c r="A50" s="177" t="s">
        <v>270</v>
      </c>
      <c r="B50" s="178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>
        <v>124</v>
      </c>
      <c r="AA50" s="178">
        <v>47</v>
      </c>
      <c r="AB50" s="178">
        <v>35</v>
      </c>
      <c r="AC50" s="178">
        <v>27</v>
      </c>
      <c r="AD50" s="178">
        <v>9</v>
      </c>
      <c r="AE50" s="178">
        <v>9</v>
      </c>
      <c r="AF50" s="178"/>
      <c r="AG50" s="178"/>
      <c r="AH50" s="178">
        <v>662</v>
      </c>
      <c r="AI50" s="178">
        <v>249</v>
      </c>
      <c r="AJ50" s="178">
        <v>156</v>
      </c>
      <c r="AK50" s="178">
        <v>126</v>
      </c>
      <c r="AL50" s="178">
        <v>36</v>
      </c>
      <c r="AM50" s="178">
        <v>29</v>
      </c>
      <c r="AN50" s="178"/>
      <c r="AO50" s="178"/>
      <c r="AP50" s="178">
        <v>764</v>
      </c>
      <c r="AQ50" s="178">
        <v>296</v>
      </c>
      <c r="AR50" s="178">
        <v>233</v>
      </c>
      <c r="AS50" s="178">
        <v>204</v>
      </c>
      <c r="AT50" s="178">
        <v>65</v>
      </c>
      <c r="AU50" s="178">
        <v>63</v>
      </c>
      <c r="AV50" s="178"/>
      <c r="AW50" s="178"/>
      <c r="AX50" s="178">
        <v>1034</v>
      </c>
      <c r="AY50" s="178">
        <v>391</v>
      </c>
      <c r="AZ50" s="178">
        <v>261</v>
      </c>
      <c r="BA50" s="178">
        <v>219</v>
      </c>
      <c r="BB50" s="178">
        <v>66</v>
      </c>
      <c r="BC50" s="178">
        <v>58</v>
      </c>
      <c r="BD50" s="178"/>
      <c r="BE50" s="178"/>
      <c r="BF50" s="178">
        <v>1556</v>
      </c>
      <c r="BG50" s="178">
        <v>563</v>
      </c>
      <c r="BH50" s="178">
        <v>352</v>
      </c>
      <c r="BI50" s="178">
        <v>276</v>
      </c>
      <c r="BJ50" s="178">
        <v>82</v>
      </c>
      <c r="BK50" s="178">
        <v>66</v>
      </c>
      <c r="BL50" s="178"/>
      <c r="BM50" s="178"/>
      <c r="BP50" s="222"/>
      <c r="BQ50" s="177"/>
      <c r="BR50" s="222"/>
      <c r="BS50" s="177"/>
      <c r="BT50" s="222"/>
      <c r="BU50" s="177"/>
      <c r="BV50" s="222"/>
      <c r="BX50">
        <v>25.76</v>
      </c>
      <c r="BY50" s="179">
        <f t="shared" si="9"/>
        <v>4140</v>
      </c>
      <c r="BZ50" s="179">
        <f t="shared" si="0"/>
        <v>1546</v>
      </c>
      <c r="CA50" s="183">
        <f t="shared" si="11"/>
        <v>106646.40000000001</v>
      </c>
      <c r="CB50" s="183">
        <f t="shared" si="1"/>
        <v>68.98214747736094</v>
      </c>
      <c r="CC50" s="179">
        <f>SUM(D50,J50,P50,V50,AB50,AJ50,AR50,AZ50,BH50)</f>
        <v>1037</v>
      </c>
      <c r="CD50" s="179">
        <f t="shared" si="2"/>
        <v>852</v>
      </c>
      <c r="CE50" s="183">
        <f>BX50*CC50</f>
        <v>26713.120000000003</v>
      </c>
      <c r="CF50" s="183">
        <f t="shared" si="3"/>
        <v>31.35342723004695</v>
      </c>
      <c r="CG50" s="179">
        <f>SUM(F50,L50,R50,X50,AD50,AL50,AT50,BB50,BJ50)</f>
        <v>258</v>
      </c>
      <c r="CH50" s="179">
        <f t="shared" si="4"/>
        <v>225</v>
      </c>
      <c r="CI50" s="183">
        <f t="shared" si="5"/>
        <v>6646.0800000000008</v>
      </c>
      <c r="CJ50">
        <f t="shared" si="10"/>
        <v>29.538133333333338</v>
      </c>
    </row>
    <row r="51" spans="1:88">
      <c r="A51" s="177" t="s">
        <v>271</v>
      </c>
      <c r="B51" s="178">
        <v>1508</v>
      </c>
      <c r="C51" s="178">
        <v>519</v>
      </c>
      <c r="D51" s="178">
        <v>521</v>
      </c>
      <c r="E51" s="178">
        <v>243</v>
      </c>
      <c r="F51" s="178">
        <v>74</v>
      </c>
      <c r="G51" s="178">
        <v>37</v>
      </c>
      <c r="H51" s="178">
        <v>914</v>
      </c>
      <c r="I51" s="178">
        <v>518</v>
      </c>
      <c r="J51" s="178">
        <v>475</v>
      </c>
      <c r="K51" s="178">
        <v>347</v>
      </c>
      <c r="L51" s="178">
        <v>95</v>
      </c>
      <c r="M51" s="178">
        <v>74</v>
      </c>
      <c r="N51" s="178">
        <v>567</v>
      </c>
      <c r="O51" s="178">
        <v>435</v>
      </c>
      <c r="P51" s="178">
        <v>277</v>
      </c>
      <c r="Q51" s="178">
        <v>257</v>
      </c>
      <c r="R51" s="178">
        <v>72</v>
      </c>
      <c r="S51" s="178">
        <v>61</v>
      </c>
      <c r="T51" s="178">
        <v>115</v>
      </c>
      <c r="U51" s="178">
        <v>89</v>
      </c>
      <c r="V51" s="178">
        <v>37</v>
      </c>
      <c r="W51" s="178">
        <v>29</v>
      </c>
      <c r="X51" s="178">
        <v>4</v>
      </c>
      <c r="Y51" s="178">
        <v>5</v>
      </c>
      <c r="Z51" s="178">
        <v>28</v>
      </c>
      <c r="AA51" s="178">
        <v>16</v>
      </c>
      <c r="AB51" s="178">
        <v>5</v>
      </c>
      <c r="AC51" s="178">
        <v>5</v>
      </c>
      <c r="AD51" s="178">
        <v>2</v>
      </c>
      <c r="AE51" s="178">
        <v>2</v>
      </c>
      <c r="AF51" s="178"/>
      <c r="AG51" s="178"/>
      <c r="AH51" s="178">
        <v>3</v>
      </c>
      <c r="AI51" s="178">
        <v>2</v>
      </c>
      <c r="AJ51" s="178"/>
      <c r="AK51" s="178"/>
      <c r="AL51" s="178">
        <v>3</v>
      </c>
      <c r="AM51" s="178">
        <v>2</v>
      </c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78"/>
      <c r="BA51" s="178"/>
      <c r="BB51" s="178"/>
      <c r="BC51" s="178"/>
      <c r="BD51" s="178"/>
      <c r="BE51" s="178"/>
      <c r="BF51" s="178"/>
      <c r="BG51" s="178"/>
      <c r="BH51" s="178"/>
      <c r="BI51" s="178"/>
      <c r="BJ51" s="178"/>
      <c r="BK51" s="178"/>
      <c r="BL51" s="178"/>
      <c r="BM51" s="178"/>
      <c r="BP51" s="222"/>
      <c r="BQ51" s="177"/>
      <c r="BR51" s="222"/>
      <c r="BS51" s="177"/>
      <c r="BT51" s="222"/>
      <c r="BU51" s="177"/>
      <c r="BV51" s="222"/>
      <c r="BX51">
        <v>30.99</v>
      </c>
      <c r="BY51" s="179">
        <f t="shared" si="9"/>
        <v>3135</v>
      </c>
      <c r="BZ51" s="179">
        <f t="shared" si="0"/>
        <v>1579</v>
      </c>
      <c r="CA51" s="183">
        <f t="shared" si="11"/>
        <v>97153.65</v>
      </c>
      <c r="CB51" s="183">
        <f t="shared" si="1"/>
        <v>61.528594046865102</v>
      </c>
      <c r="CC51" s="179">
        <f>SUM(D51,J51,P51,V51,AB51,AJ51,AR51,AZ51,BH51)</f>
        <v>1315</v>
      </c>
      <c r="CD51" s="179">
        <f t="shared" si="2"/>
        <v>881</v>
      </c>
      <c r="CE51" s="183">
        <f>BX51*CC51</f>
        <v>40751.85</v>
      </c>
      <c r="CF51" s="183">
        <f t="shared" si="3"/>
        <v>46.256356413166856</v>
      </c>
      <c r="CG51" s="179">
        <f>SUM(F51,L51,R51,X51,AD51,AL51,AT51,BB51,BJ51)</f>
        <v>250</v>
      </c>
      <c r="CH51" s="179">
        <f t="shared" si="4"/>
        <v>181</v>
      </c>
      <c r="CI51" s="183">
        <f t="shared" si="5"/>
        <v>7747.5</v>
      </c>
      <c r="CJ51">
        <f t="shared" si="10"/>
        <v>42.803867403314918</v>
      </c>
    </row>
    <row r="52" spans="1:88">
      <c r="A52" s="177" t="s">
        <v>272</v>
      </c>
      <c r="B52" s="178">
        <v>172576</v>
      </c>
      <c r="C52" s="178">
        <v>1213</v>
      </c>
      <c r="D52" s="178">
        <v>99299</v>
      </c>
      <c r="E52" s="178">
        <v>877</v>
      </c>
      <c r="F52" s="178">
        <v>4681</v>
      </c>
      <c r="G52" s="178">
        <v>37</v>
      </c>
      <c r="H52" s="178">
        <v>217629</v>
      </c>
      <c r="I52" s="178">
        <v>1545</v>
      </c>
      <c r="J52" s="178">
        <v>128592</v>
      </c>
      <c r="K52" s="178">
        <v>1231</v>
      </c>
      <c r="L52" s="178">
        <v>5877</v>
      </c>
      <c r="M52" s="178">
        <v>55</v>
      </c>
      <c r="N52" s="178">
        <v>223839</v>
      </c>
      <c r="O52" s="178">
        <v>1545</v>
      </c>
      <c r="P52" s="178">
        <v>131579</v>
      </c>
      <c r="Q52" s="178">
        <v>1266</v>
      </c>
      <c r="R52" s="178">
        <v>7933</v>
      </c>
      <c r="S52" s="178">
        <v>76</v>
      </c>
      <c r="T52" s="178">
        <v>207678</v>
      </c>
      <c r="U52" s="178">
        <v>1442</v>
      </c>
      <c r="V52" s="178">
        <v>153943</v>
      </c>
      <c r="W52" s="178">
        <v>1425</v>
      </c>
      <c r="X52" s="178">
        <v>7782</v>
      </c>
      <c r="Y52" s="178">
        <v>71</v>
      </c>
      <c r="Z52" s="178">
        <v>241245</v>
      </c>
      <c r="AA52" s="178">
        <v>1675</v>
      </c>
      <c r="AB52" s="178">
        <v>149248</v>
      </c>
      <c r="AC52" s="178">
        <v>1373</v>
      </c>
      <c r="AD52" s="178">
        <v>7531</v>
      </c>
      <c r="AE52" s="178">
        <v>75</v>
      </c>
      <c r="AF52" s="178"/>
      <c r="AG52" s="178"/>
      <c r="AH52" s="178">
        <v>243489</v>
      </c>
      <c r="AI52" s="178">
        <v>1697</v>
      </c>
      <c r="AJ52" s="178">
        <v>173716</v>
      </c>
      <c r="AK52" s="178">
        <v>1632</v>
      </c>
      <c r="AL52" s="178">
        <v>9705</v>
      </c>
      <c r="AM52" s="178">
        <v>91</v>
      </c>
      <c r="AN52" s="178"/>
      <c r="AO52" s="178"/>
      <c r="AP52" s="178">
        <v>237144</v>
      </c>
      <c r="AQ52" s="178">
        <v>1630</v>
      </c>
      <c r="AR52" s="178">
        <v>174717</v>
      </c>
      <c r="AS52" s="178">
        <v>1661</v>
      </c>
      <c r="AT52" s="178">
        <v>10155</v>
      </c>
      <c r="AU52" s="178">
        <v>106</v>
      </c>
      <c r="AV52" s="178"/>
      <c r="AW52" s="178"/>
      <c r="AX52" s="178">
        <v>235285</v>
      </c>
      <c r="AY52" s="178">
        <v>1628</v>
      </c>
      <c r="AZ52" s="178">
        <v>159632</v>
      </c>
      <c r="BA52" s="178">
        <v>1570</v>
      </c>
      <c r="BB52" s="178">
        <v>11007</v>
      </c>
      <c r="BC52" s="178">
        <v>99</v>
      </c>
      <c r="BD52" s="178"/>
      <c r="BE52" s="178"/>
      <c r="BF52" s="178">
        <v>277079</v>
      </c>
      <c r="BG52" s="178">
        <v>1922</v>
      </c>
      <c r="BH52" s="178">
        <v>198155</v>
      </c>
      <c r="BI52" s="178">
        <v>1852</v>
      </c>
      <c r="BJ52" s="178">
        <v>10210</v>
      </c>
      <c r="BK52" s="178">
        <v>101</v>
      </c>
      <c r="BL52" s="178"/>
      <c r="BM52" s="178"/>
      <c r="BP52" s="222">
        <f t="shared" si="6"/>
        <v>226559.375</v>
      </c>
      <c r="BQ52" s="177"/>
      <c r="BR52" s="222">
        <f t="shared" si="7"/>
        <v>149395.625</v>
      </c>
      <c r="BS52" s="177"/>
      <c r="BT52" s="222">
        <f t="shared" si="8"/>
        <v>8147</v>
      </c>
      <c r="BU52" s="177"/>
      <c r="BV52" s="222"/>
      <c r="BX52">
        <v>8.5000000000000006E-2</v>
      </c>
      <c r="BY52" s="179">
        <f t="shared" si="9"/>
        <v>2055964</v>
      </c>
      <c r="BZ52" s="179">
        <f t="shared" si="0"/>
        <v>14297</v>
      </c>
      <c r="CA52" s="183">
        <f t="shared" si="11"/>
        <v>174756.94</v>
      </c>
      <c r="CB52" s="183">
        <f t="shared" si="1"/>
        <v>12.22332936979786</v>
      </c>
      <c r="CC52" s="179">
        <f>SUM(D52,J52,P52,V52,AB52,AJ52,AR52,AZ52,BH52)</f>
        <v>1368881</v>
      </c>
      <c r="CD52" s="179">
        <f t="shared" si="2"/>
        <v>12887</v>
      </c>
      <c r="CE52" s="183">
        <f>BX52*CC52</f>
        <v>116354.88500000001</v>
      </c>
      <c r="CF52" s="183">
        <f t="shared" si="3"/>
        <v>9.0288573756498813</v>
      </c>
      <c r="CG52" s="179">
        <f>SUM(F52,L52,R52,X52,AD52,AL52,AT52,BB52,BJ52)</f>
        <v>74881</v>
      </c>
      <c r="CH52" s="179">
        <f t="shared" si="4"/>
        <v>711</v>
      </c>
      <c r="CI52" s="183">
        <f t="shared" si="5"/>
        <v>6364.8850000000002</v>
      </c>
      <c r="CJ52">
        <f t="shared" si="10"/>
        <v>8.9520182841068916</v>
      </c>
    </row>
    <row r="53" spans="1:88">
      <c r="A53" s="177" t="s">
        <v>273</v>
      </c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  <c r="T53" s="178">
        <v>4082</v>
      </c>
      <c r="U53" s="178">
        <v>43</v>
      </c>
      <c r="V53" s="178">
        <v>1856</v>
      </c>
      <c r="W53" s="178">
        <v>28</v>
      </c>
      <c r="X53" s="178">
        <v>92</v>
      </c>
      <c r="Y53" s="178">
        <v>1</v>
      </c>
      <c r="Z53" s="178">
        <v>54352</v>
      </c>
      <c r="AA53" s="178">
        <v>607</v>
      </c>
      <c r="AB53" s="178">
        <v>29028</v>
      </c>
      <c r="AC53" s="178">
        <v>484</v>
      </c>
      <c r="AD53" s="178">
        <v>2402</v>
      </c>
      <c r="AE53" s="178">
        <v>39</v>
      </c>
      <c r="AF53" s="178"/>
      <c r="AG53" s="178"/>
      <c r="AH53" s="178">
        <v>77269</v>
      </c>
      <c r="AI53" s="178">
        <v>861</v>
      </c>
      <c r="AJ53" s="178">
        <v>41484</v>
      </c>
      <c r="AK53" s="178">
        <v>747</v>
      </c>
      <c r="AL53" s="178">
        <v>3249</v>
      </c>
      <c r="AM53" s="178">
        <v>54</v>
      </c>
      <c r="AN53" s="178"/>
      <c r="AO53" s="178"/>
      <c r="AP53" s="178">
        <v>91627</v>
      </c>
      <c r="AQ53" s="178">
        <v>1020</v>
      </c>
      <c r="AR53" s="178">
        <v>54101</v>
      </c>
      <c r="AS53" s="178">
        <v>989</v>
      </c>
      <c r="AT53" s="178">
        <v>3403</v>
      </c>
      <c r="AU53" s="178">
        <v>66</v>
      </c>
      <c r="AV53" s="178"/>
      <c r="AW53" s="178"/>
      <c r="AX53" s="178">
        <v>92540</v>
      </c>
      <c r="AY53" s="178">
        <v>1030</v>
      </c>
      <c r="AZ53" s="178">
        <v>53133</v>
      </c>
      <c r="BA53" s="178">
        <v>1001</v>
      </c>
      <c r="BB53" s="178">
        <v>3101</v>
      </c>
      <c r="BC53" s="178">
        <v>53</v>
      </c>
      <c r="BD53" s="178"/>
      <c r="BE53" s="178"/>
      <c r="BF53" s="178">
        <v>97250</v>
      </c>
      <c r="BG53" s="178">
        <v>1100</v>
      </c>
      <c r="BH53" s="178">
        <v>55731</v>
      </c>
      <c r="BI53" s="178">
        <v>1021</v>
      </c>
      <c r="BJ53" s="178">
        <v>2871</v>
      </c>
      <c r="BK53" s="178">
        <v>58</v>
      </c>
      <c r="BL53" s="178"/>
      <c r="BM53" s="178"/>
      <c r="BP53" s="222">
        <f t="shared" si="6"/>
        <v>67970.2</v>
      </c>
      <c r="BQ53" s="177"/>
      <c r="BR53" s="222">
        <f t="shared" si="7"/>
        <v>38769.800000000003</v>
      </c>
      <c r="BS53" s="177"/>
      <c r="BT53" s="222">
        <f t="shared" si="8"/>
        <v>2373.8000000000002</v>
      </c>
      <c r="BU53" s="177"/>
      <c r="BV53" s="222"/>
      <c r="BX53">
        <v>0.09</v>
      </c>
      <c r="BY53" s="179">
        <f t="shared" si="9"/>
        <v>417120</v>
      </c>
      <c r="BZ53" s="179">
        <f t="shared" si="0"/>
        <v>4661</v>
      </c>
      <c r="CA53" s="183">
        <f t="shared" si="11"/>
        <v>37540.799999999996</v>
      </c>
      <c r="CB53" s="183">
        <f t="shared" si="1"/>
        <v>8.0542372881355924</v>
      </c>
      <c r="CC53" s="179">
        <f>SUM(D53,J53,P53,V53,AB53,AJ53,AR53,AZ53,BH53)</f>
        <v>235333</v>
      </c>
      <c r="CD53" s="179">
        <f t="shared" si="2"/>
        <v>4270</v>
      </c>
      <c r="CE53" s="183">
        <f>BX53*CC53</f>
        <v>21179.969999999998</v>
      </c>
      <c r="CF53" s="183">
        <f t="shared" si="3"/>
        <v>4.9601803278688514</v>
      </c>
      <c r="CG53" s="179">
        <f>SUM(F53,L53,R53,X53,AD53,AL53,AT53,BB53,BJ53)</f>
        <v>15118</v>
      </c>
      <c r="CH53" s="179">
        <f t="shared" si="4"/>
        <v>271</v>
      </c>
      <c r="CI53" s="183">
        <f t="shared" si="5"/>
        <v>1360.62</v>
      </c>
      <c r="CJ53">
        <f t="shared" si="10"/>
        <v>5.0207380073800731</v>
      </c>
    </row>
    <row r="54" spans="1:88">
      <c r="A54" s="177" t="s">
        <v>274</v>
      </c>
      <c r="B54" s="178">
        <v>15240</v>
      </c>
      <c r="C54" s="178">
        <v>301</v>
      </c>
      <c r="D54" s="178">
        <v>6004</v>
      </c>
      <c r="E54" s="178">
        <v>177</v>
      </c>
      <c r="F54" s="178">
        <v>736</v>
      </c>
      <c r="G54" s="178">
        <v>14</v>
      </c>
      <c r="H54" s="178">
        <v>17390</v>
      </c>
      <c r="I54" s="178">
        <v>341</v>
      </c>
      <c r="J54" s="178">
        <v>9367</v>
      </c>
      <c r="K54" s="178">
        <v>291</v>
      </c>
      <c r="L54" s="178">
        <v>617</v>
      </c>
      <c r="M54" s="178">
        <v>20</v>
      </c>
      <c r="N54" s="178">
        <v>18929</v>
      </c>
      <c r="O54" s="178">
        <v>388</v>
      </c>
      <c r="P54" s="178">
        <v>6086</v>
      </c>
      <c r="Q54" s="178">
        <v>193</v>
      </c>
      <c r="R54" s="178">
        <v>230</v>
      </c>
      <c r="S54" s="178">
        <v>9</v>
      </c>
      <c r="T54" s="178">
        <v>16957</v>
      </c>
      <c r="U54" s="178">
        <v>329</v>
      </c>
      <c r="V54" s="178">
        <v>7043</v>
      </c>
      <c r="W54" s="178">
        <v>213</v>
      </c>
      <c r="X54" s="178">
        <v>166</v>
      </c>
      <c r="Y54" s="178">
        <v>10</v>
      </c>
      <c r="Z54" s="178">
        <v>19402</v>
      </c>
      <c r="AA54" s="178">
        <v>377</v>
      </c>
      <c r="AB54" s="178">
        <v>7264</v>
      </c>
      <c r="AC54" s="178">
        <v>216</v>
      </c>
      <c r="AD54" s="178">
        <v>695</v>
      </c>
      <c r="AE54" s="178">
        <v>22</v>
      </c>
      <c r="AF54" s="178"/>
      <c r="AG54" s="178"/>
      <c r="AH54" s="178">
        <v>21194</v>
      </c>
      <c r="AI54" s="178">
        <v>402</v>
      </c>
      <c r="AJ54" s="178">
        <v>6534</v>
      </c>
      <c r="AK54" s="178">
        <v>214</v>
      </c>
      <c r="AL54" s="178">
        <v>583</v>
      </c>
      <c r="AM54" s="178">
        <v>13</v>
      </c>
      <c r="AN54" s="178"/>
      <c r="AO54" s="178"/>
      <c r="AP54" s="178">
        <v>21047</v>
      </c>
      <c r="AQ54" s="178">
        <v>416</v>
      </c>
      <c r="AR54" s="178">
        <v>8024</v>
      </c>
      <c r="AS54" s="178">
        <v>266</v>
      </c>
      <c r="AT54" s="178">
        <v>673</v>
      </c>
      <c r="AU54" s="178">
        <v>20</v>
      </c>
      <c r="AV54" s="178"/>
      <c r="AW54" s="178"/>
      <c r="AX54" s="178">
        <v>20722</v>
      </c>
      <c r="AY54" s="178">
        <v>388</v>
      </c>
      <c r="AZ54" s="178">
        <v>7161</v>
      </c>
      <c r="BA54" s="178">
        <v>228</v>
      </c>
      <c r="BB54" s="178">
        <v>357</v>
      </c>
      <c r="BC54" s="178">
        <v>14</v>
      </c>
      <c r="BD54" s="178"/>
      <c r="BE54" s="178"/>
      <c r="BF54" s="178">
        <v>28999</v>
      </c>
      <c r="BG54" s="178">
        <v>542</v>
      </c>
      <c r="BH54" s="178">
        <v>9644</v>
      </c>
      <c r="BI54" s="178">
        <v>297</v>
      </c>
      <c r="BJ54" s="178">
        <v>879</v>
      </c>
      <c r="BK54" s="178">
        <v>21</v>
      </c>
      <c r="BL54" s="178"/>
      <c r="BM54" s="178"/>
      <c r="BP54" s="222">
        <f t="shared" si="6"/>
        <v>19835.75</v>
      </c>
      <c r="BQ54" s="177"/>
      <c r="BR54" s="222"/>
      <c r="BS54" s="177"/>
      <c r="BT54" s="222"/>
      <c r="BU54" s="177"/>
      <c r="BV54" s="222"/>
      <c r="BX54">
        <v>6.1499999999999999E-2</v>
      </c>
      <c r="BY54" s="179">
        <f t="shared" si="9"/>
        <v>179880</v>
      </c>
      <c r="BZ54" s="179">
        <f t="shared" si="0"/>
        <v>3484</v>
      </c>
      <c r="CA54" s="183">
        <f t="shared" si="11"/>
        <v>11062.619999999999</v>
      </c>
      <c r="CB54" s="183">
        <f t="shared" si="1"/>
        <v>3.1752640642939149</v>
      </c>
      <c r="CC54" s="179">
        <f>SUM(D54,J54,P54,V54,AB54,AJ54,AR54,AZ54,BH54)</f>
        <v>67127</v>
      </c>
      <c r="CD54" s="179">
        <f t="shared" si="2"/>
        <v>2095</v>
      </c>
      <c r="CE54" s="183">
        <f>BX54*CC54</f>
        <v>4128.3104999999996</v>
      </c>
      <c r="CF54" s="183">
        <f t="shared" si="3"/>
        <v>1.9705539379474939</v>
      </c>
      <c r="CG54" s="179">
        <f>SUM(F54,L54,R54,X54,AD54,AL54,AT54,BB54,BJ54)</f>
        <v>4936</v>
      </c>
      <c r="CH54" s="179">
        <f t="shared" si="4"/>
        <v>143</v>
      </c>
      <c r="CI54" s="183">
        <f t="shared" si="5"/>
        <v>303.56400000000002</v>
      </c>
      <c r="CJ54">
        <f t="shared" si="10"/>
        <v>2.122825174825175</v>
      </c>
    </row>
    <row r="55" spans="1:88" s="182" customFormat="1">
      <c r="A55" s="180" t="s">
        <v>275</v>
      </c>
      <c r="B55" s="181">
        <v>985763</v>
      </c>
      <c r="C55" s="181">
        <v>10268</v>
      </c>
      <c r="D55" s="181">
        <v>504133</v>
      </c>
      <c r="E55" s="181">
        <v>6767</v>
      </c>
      <c r="F55" s="181">
        <v>27219</v>
      </c>
      <c r="G55" s="181">
        <v>419</v>
      </c>
      <c r="H55" s="181">
        <v>1239375</v>
      </c>
      <c r="I55" s="181">
        <v>12766</v>
      </c>
      <c r="J55" s="181">
        <v>693620</v>
      </c>
      <c r="K55" s="181">
        <v>10271</v>
      </c>
      <c r="L55" s="181">
        <v>35544</v>
      </c>
      <c r="M55" s="181">
        <v>634</v>
      </c>
      <c r="N55" s="181">
        <v>1153665</v>
      </c>
      <c r="O55" s="181">
        <v>11730</v>
      </c>
      <c r="P55" s="181">
        <v>588677</v>
      </c>
      <c r="Q55" s="181">
        <v>8842</v>
      </c>
      <c r="R55" s="181">
        <v>28536</v>
      </c>
      <c r="S55" s="181">
        <v>518</v>
      </c>
      <c r="T55" s="181">
        <v>1230525</v>
      </c>
      <c r="U55" s="181">
        <v>11578</v>
      </c>
      <c r="V55" s="181">
        <v>686139</v>
      </c>
      <c r="W55" s="181">
        <v>9266</v>
      </c>
      <c r="X55" s="181">
        <v>38951</v>
      </c>
      <c r="Y55" s="181">
        <v>583</v>
      </c>
      <c r="Z55" s="181">
        <v>1542710</v>
      </c>
      <c r="AA55" s="181">
        <v>15453</v>
      </c>
      <c r="AB55" s="181">
        <v>805464</v>
      </c>
      <c r="AC55" s="181">
        <v>11175</v>
      </c>
      <c r="AD55" s="181">
        <v>56986</v>
      </c>
      <c r="AE55" s="181">
        <v>802</v>
      </c>
      <c r="AF55" s="181">
        <v>2030</v>
      </c>
      <c r="AG55" s="181">
        <v>11</v>
      </c>
      <c r="AH55" s="181">
        <v>1586706</v>
      </c>
      <c r="AI55" s="181">
        <v>15972</v>
      </c>
      <c r="AJ55" s="181">
        <v>879948</v>
      </c>
      <c r="AK55" s="181">
        <v>13123</v>
      </c>
      <c r="AL55" s="181">
        <v>65833</v>
      </c>
      <c r="AM55" s="181">
        <v>962</v>
      </c>
      <c r="AN55" s="181">
        <v>2030</v>
      </c>
      <c r="AO55" s="181">
        <v>19</v>
      </c>
      <c r="AP55" s="181">
        <v>1596730</v>
      </c>
      <c r="AQ55" s="181">
        <v>15661</v>
      </c>
      <c r="AR55" s="181">
        <v>974012</v>
      </c>
      <c r="AS55" s="181">
        <v>14658</v>
      </c>
      <c r="AT55" s="181">
        <v>72315</v>
      </c>
      <c r="AU55" s="181">
        <v>1101</v>
      </c>
      <c r="AV55" s="181">
        <v>3008</v>
      </c>
      <c r="AW55" s="181">
        <v>29</v>
      </c>
      <c r="AX55" s="181">
        <v>1457240</v>
      </c>
      <c r="AY55" s="181">
        <v>14346</v>
      </c>
      <c r="AZ55" s="181">
        <v>838440</v>
      </c>
      <c r="BA55" s="181">
        <v>12658</v>
      </c>
      <c r="BB55" s="181">
        <v>69472</v>
      </c>
      <c r="BC55" s="181">
        <v>950</v>
      </c>
      <c r="BD55" s="181">
        <v>4475</v>
      </c>
      <c r="BE55" s="181">
        <v>38</v>
      </c>
      <c r="BF55" s="181">
        <v>1828893</v>
      </c>
      <c r="BG55" s="181">
        <v>18410</v>
      </c>
      <c r="BH55" s="181">
        <v>984127</v>
      </c>
      <c r="BI55" s="181">
        <v>14810</v>
      </c>
      <c r="BJ55" s="181">
        <v>86257</v>
      </c>
      <c r="BK55" s="181">
        <v>1194</v>
      </c>
      <c r="BL55" s="181">
        <v>4265</v>
      </c>
      <c r="BM55" s="181">
        <v>39</v>
      </c>
      <c r="BP55" s="180"/>
      <c r="BQ55" s="180"/>
      <c r="BR55" s="180"/>
      <c r="BS55" s="180"/>
      <c r="BT55" s="180"/>
      <c r="BU55" s="180"/>
      <c r="BV55" s="180"/>
      <c r="BY55" s="179"/>
      <c r="BZ55" s="179"/>
      <c r="CA55" s="224">
        <f>SUM(CA3:CA54)</f>
        <v>1875115.3623500003</v>
      </c>
      <c r="CB55" s="224"/>
      <c r="CC55" s="179"/>
      <c r="CD55" s="179"/>
      <c r="CE55" s="224">
        <f>SUM(CE3:CE54)</f>
        <v>890038.8666000003</v>
      </c>
      <c r="CF55" s="224"/>
      <c r="CG55" s="179"/>
      <c r="CH55" s="179"/>
      <c r="CI55" s="224">
        <f>SUM(CI3:CI54)</f>
        <v>122540.16615</v>
      </c>
    </row>
    <row r="56" spans="1:88">
      <c r="BP56" s="222">
        <f>AVERAGE(BP3:BP54)</f>
        <v>48048.474242424243</v>
      </c>
      <c r="BQ56" s="222"/>
      <c r="BR56" s="222">
        <f t="shared" ref="BR56:BV56" si="13">AVERAGE(BR3:BR54)</f>
        <v>26966.138419913423</v>
      </c>
      <c r="BS56" s="222"/>
      <c r="BT56" s="222">
        <f t="shared" si="13"/>
        <v>2612.734523809524</v>
      </c>
      <c r="BU56" s="222"/>
      <c r="BV56" s="222">
        <f t="shared" si="13"/>
        <v>442.03750000000002</v>
      </c>
      <c r="BY56" s="179">
        <f t="shared" si="9"/>
        <v>0</v>
      </c>
      <c r="BZ56" s="179"/>
    </row>
    <row r="58" spans="1:88">
      <c r="BP58" s="183"/>
      <c r="BQ58" s="183"/>
      <c r="BR58" s="183"/>
      <c r="BS58" s="183"/>
      <c r="BT58" s="183"/>
    </row>
    <row r="60" spans="1:88">
      <c r="BT60" s="179"/>
    </row>
    <row r="62" spans="1:88">
      <c r="BP62" s="179"/>
      <c r="BQ62" s="179"/>
      <c r="BR62" s="179"/>
      <c r="BS62" s="179"/>
      <c r="BT62" s="179"/>
    </row>
    <row r="64" spans="1:88">
      <c r="BP64" s="179"/>
      <c r="BQ64" s="179"/>
      <c r="BR64" s="179"/>
      <c r="BS64" s="179"/>
      <c r="BT64" s="179"/>
    </row>
    <row r="67" spans="68:72">
      <c r="BP67" s="179"/>
      <c r="BQ67" s="179"/>
      <c r="BR67" s="179"/>
      <c r="BS67" s="179"/>
      <c r="BT67" s="179"/>
    </row>
  </sheetData>
  <mergeCells count="12">
    <mergeCell ref="BY1:CI1"/>
    <mergeCell ref="AH1:AO1"/>
    <mergeCell ref="AP1:AW1"/>
    <mergeCell ref="AX1:BE1"/>
    <mergeCell ref="BF1:BM1"/>
    <mergeCell ref="BP1:BV1"/>
    <mergeCell ref="Z1:AG1"/>
    <mergeCell ref="A1:A2"/>
    <mergeCell ref="B1:G1"/>
    <mergeCell ref="H1:M1"/>
    <mergeCell ref="N1:S1"/>
    <mergeCell ref="T1:Y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H8"/>
  <sheetViews>
    <sheetView tabSelected="1" workbookViewId="0">
      <selection activeCell="M22" sqref="M22"/>
    </sheetView>
  </sheetViews>
  <sheetFormatPr defaultRowHeight="15"/>
  <cols>
    <col min="4" max="4" width="15.85546875" bestFit="1" customWidth="1"/>
    <col min="5" max="5" width="13.28515625" bestFit="1" customWidth="1"/>
    <col min="6" max="6" width="11.7109375" customWidth="1"/>
    <col min="7" max="7" width="8" bestFit="1" customWidth="1"/>
    <col min="8" max="8" width="15.85546875" customWidth="1"/>
  </cols>
  <sheetData>
    <row r="5" spans="4:8" ht="33.75">
      <c r="D5" s="177"/>
      <c r="E5" s="227" t="s">
        <v>291</v>
      </c>
      <c r="F5" s="226" t="s">
        <v>292</v>
      </c>
      <c r="G5" s="226" t="s">
        <v>293</v>
      </c>
      <c r="H5" s="226" t="s">
        <v>290</v>
      </c>
    </row>
    <row r="6" spans="4:8">
      <c r="D6" s="177" t="s">
        <v>197</v>
      </c>
      <c r="E6" s="225">
        <f>'მედიკამენტის ხარჯვა სტატუსის მი'!CA55</f>
        <v>1875115.3623500003</v>
      </c>
      <c r="F6" s="177">
        <v>11669</v>
      </c>
      <c r="G6" s="225">
        <f>E6/F6</f>
        <v>160.69203550861258</v>
      </c>
      <c r="H6" s="177">
        <v>40</v>
      </c>
    </row>
    <row r="7" spans="4:8">
      <c r="D7" s="177" t="s">
        <v>198</v>
      </c>
      <c r="E7" s="225">
        <f>'მედიკამენტის ხარჯვა სტატუსის მი'!CE55</f>
        <v>890038.8666000003</v>
      </c>
      <c r="F7" s="177">
        <v>22755</v>
      </c>
      <c r="G7" s="225">
        <f t="shared" ref="G7:G8" si="0">E7/F7</f>
        <v>39.113991061305221</v>
      </c>
      <c r="H7" s="177">
        <v>18</v>
      </c>
    </row>
    <row r="8" spans="4:8">
      <c r="D8" s="177" t="s">
        <v>199</v>
      </c>
      <c r="E8" s="225">
        <f>'მედიკამენტის ხარჯვა სტატუსის მი'!CI55</f>
        <v>122540.16615</v>
      </c>
      <c r="F8" s="177">
        <v>1839</v>
      </c>
      <c r="G8" s="225">
        <f t="shared" si="0"/>
        <v>66.634130587275692</v>
      </c>
      <c r="H8" s="177">
        <v>18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E22" sqref="E22"/>
    </sheetView>
  </sheetViews>
  <sheetFormatPr defaultRowHeight="15"/>
  <cols>
    <col min="1" max="1" width="17.85546875" customWidth="1"/>
    <col min="2" max="2" width="22.42578125" customWidth="1"/>
    <col min="3" max="3" width="17.5703125" customWidth="1"/>
    <col min="4" max="4" width="15.5703125" customWidth="1"/>
    <col min="5" max="5" width="18.85546875" customWidth="1"/>
    <col min="9" max="9" width="15.85546875" bestFit="1" customWidth="1"/>
    <col min="10" max="10" width="17" customWidth="1"/>
    <col min="11" max="11" width="19.28515625" customWidth="1"/>
  </cols>
  <sheetData>
    <row r="1" spans="1:11">
      <c r="A1" s="184" t="s">
        <v>276</v>
      </c>
      <c r="B1" s="184" t="s">
        <v>277</v>
      </c>
      <c r="C1" s="184" t="s">
        <v>278</v>
      </c>
      <c r="D1" s="184" t="s">
        <v>279</v>
      </c>
      <c r="E1" s="184" t="s">
        <v>280</v>
      </c>
    </row>
    <row r="2" spans="1:11">
      <c r="A2" s="184" t="s">
        <v>200</v>
      </c>
      <c r="B2" s="185">
        <v>973</v>
      </c>
      <c r="C2" s="185">
        <v>3400</v>
      </c>
      <c r="D2" s="185">
        <v>190</v>
      </c>
      <c r="E2" s="184"/>
    </row>
    <row r="3" spans="1:11">
      <c r="A3" s="184" t="s">
        <v>186</v>
      </c>
      <c r="B3" s="185">
        <v>1282</v>
      </c>
      <c r="C3" s="185">
        <v>4037</v>
      </c>
      <c r="D3" s="185">
        <v>234</v>
      </c>
      <c r="E3" s="184"/>
    </row>
    <row r="4" spans="1:11">
      <c r="A4" s="184" t="s">
        <v>187</v>
      </c>
      <c r="B4" s="185">
        <v>977</v>
      </c>
      <c r="C4" s="185">
        <v>2604</v>
      </c>
      <c r="D4" s="185">
        <v>155</v>
      </c>
      <c r="E4" s="184"/>
    </row>
    <row r="5" spans="1:11">
      <c r="A5" s="184" t="s">
        <v>188</v>
      </c>
      <c r="B5" s="185">
        <v>874</v>
      </c>
      <c r="C5" s="185">
        <v>1822</v>
      </c>
      <c r="D5" s="185">
        <v>156</v>
      </c>
      <c r="E5" s="184"/>
    </row>
    <row r="6" spans="1:11">
      <c r="A6" s="184" t="s">
        <v>189</v>
      </c>
      <c r="B6" s="185">
        <v>1434</v>
      </c>
      <c r="C6" s="185">
        <v>2271</v>
      </c>
      <c r="D6" s="185">
        <v>269</v>
      </c>
      <c r="E6" s="185">
        <v>72</v>
      </c>
    </row>
    <row r="7" spans="1:11">
      <c r="A7" s="184" t="s">
        <v>190</v>
      </c>
      <c r="B7" s="185">
        <v>1697</v>
      </c>
      <c r="C7" s="185">
        <v>2482</v>
      </c>
      <c r="D7" s="185">
        <v>249</v>
      </c>
      <c r="E7" s="185">
        <v>83</v>
      </c>
    </row>
    <row r="8" spans="1:11" ht="33.75">
      <c r="A8" s="184" t="s">
        <v>281</v>
      </c>
      <c r="B8" s="185">
        <v>1596</v>
      </c>
      <c r="C8" s="185">
        <v>2329</v>
      </c>
      <c r="D8" s="185">
        <v>237</v>
      </c>
      <c r="E8" s="185">
        <v>88</v>
      </c>
      <c r="J8" s="146" t="s">
        <v>282</v>
      </c>
      <c r="K8" s="146" t="s">
        <v>283</v>
      </c>
    </row>
    <row r="9" spans="1:11">
      <c r="A9" s="184" t="s">
        <v>192</v>
      </c>
      <c r="B9" s="185">
        <v>1293</v>
      </c>
      <c r="C9" s="185">
        <v>1652</v>
      </c>
      <c r="D9" s="185">
        <v>151</v>
      </c>
      <c r="E9" s="185">
        <v>63</v>
      </c>
      <c r="I9" t="s">
        <v>197</v>
      </c>
      <c r="J9">
        <v>1297</v>
      </c>
      <c r="K9">
        <v>48048</v>
      </c>
    </row>
    <row r="10" spans="1:11">
      <c r="A10" s="184" t="s">
        <v>193</v>
      </c>
      <c r="B10" s="185">
        <v>1543</v>
      </c>
      <c r="C10" s="185">
        <v>2158</v>
      </c>
      <c r="D10" s="185">
        <v>198</v>
      </c>
      <c r="E10" s="185">
        <v>86</v>
      </c>
      <c r="I10" t="s">
        <v>198</v>
      </c>
      <c r="J10">
        <v>2528</v>
      </c>
      <c r="K10">
        <v>29966</v>
      </c>
    </row>
    <row r="11" spans="1:11">
      <c r="B11" s="179">
        <f>AVERAGE(B2:B10)</f>
        <v>1296.5555555555557</v>
      </c>
      <c r="C11" s="179">
        <f t="shared" ref="C11:E11" si="0">AVERAGE(C2:C10)</f>
        <v>2528.3333333333335</v>
      </c>
      <c r="D11" s="179">
        <f t="shared" si="0"/>
        <v>204.33333333333334</v>
      </c>
      <c r="E11" s="179">
        <f t="shared" si="0"/>
        <v>78.400000000000006</v>
      </c>
      <c r="I11" t="s">
        <v>199</v>
      </c>
      <c r="J11">
        <v>204</v>
      </c>
      <c r="K11">
        <v>2613</v>
      </c>
    </row>
    <row r="12" spans="1:11">
      <c r="I12" t="s">
        <v>207</v>
      </c>
      <c r="J12">
        <v>78</v>
      </c>
      <c r="K12">
        <v>442</v>
      </c>
    </row>
    <row r="13" spans="1:11">
      <c r="B13" s="179">
        <f>B2+B3+B4+B5+B6+B7+B8+B9+B10</f>
        <v>11669</v>
      </c>
      <c r="C13" s="179">
        <f t="shared" ref="C13:E13" si="1">C2+C3+C4+C5+C6+C7+C8+C9+C10</f>
        <v>22755</v>
      </c>
      <c r="D13" s="179">
        <f t="shared" si="1"/>
        <v>1839</v>
      </c>
      <c r="E13" s="179">
        <f t="shared" si="1"/>
        <v>392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opLeftCell="B10" workbookViewId="0">
      <selection activeCell="F25" sqref="F25"/>
    </sheetView>
  </sheetViews>
  <sheetFormatPr defaultRowHeight="15"/>
  <cols>
    <col min="1" max="1" width="5.85546875" style="132" customWidth="1"/>
    <col min="2" max="2" width="25.140625" style="133" customWidth="1"/>
    <col min="3" max="3" width="26.140625" style="133" customWidth="1"/>
    <col min="4" max="4" width="32.7109375" style="133" bestFit="1" customWidth="1"/>
    <col min="5" max="5" width="31.5703125" style="133" customWidth="1"/>
    <col min="6" max="6" width="32.28515625" style="131" bestFit="1" customWidth="1"/>
    <col min="7" max="7" width="34.5703125" style="131" customWidth="1"/>
    <col min="8" max="8" width="36.7109375" style="131" customWidth="1"/>
    <col min="9" max="16384" width="9.140625" style="131"/>
  </cols>
  <sheetData>
    <row r="1" spans="1:8">
      <c r="D1" s="218" t="s">
        <v>183</v>
      </c>
      <c r="E1" s="218"/>
      <c r="F1" s="218"/>
      <c r="G1" s="218"/>
      <c r="H1" s="218"/>
    </row>
    <row r="2" spans="1:8" ht="43.5" customHeight="1">
      <c r="A2" s="134" t="s">
        <v>0</v>
      </c>
      <c r="B2" s="135" t="s">
        <v>166</v>
      </c>
      <c r="C2" s="136" t="s">
        <v>156</v>
      </c>
      <c r="D2" s="136" t="s">
        <v>175</v>
      </c>
      <c r="E2" s="136" t="s">
        <v>176</v>
      </c>
      <c r="F2" s="136" t="s">
        <v>177</v>
      </c>
      <c r="G2" s="136" t="s">
        <v>178</v>
      </c>
      <c r="H2" s="136" t="s">
        <v>179</v>
      </c>
    </row>
    <row r="3" spans="1:8">
      <c r="A3" s="134">
        <v>1</v>
      </c>
      <c r="B3" s="135" t="s">
        <v>167</v>
      </c>
      <c r="C3" s="137">
        <f>'გულ-სისხლძარღვთა-პროგნოზი'!I27</f>
        <v>1921641.6869627002</v>
      </c>
      <c r="D3" s="137">
        <f>'გულ-სისხლძარღვთა-პროგნოზი'!M27</f>
        <v>3712676.4181944006</v>
      </c>
      <c r="E3" s="137">
        <f>'გულ-სისხლძარღვთა-პროგნოზი'!O27</f>
        <v>18563382.090971995</v>
      </c>
      <c r="F3" s="137">
        <f>'გულ-სისხლძარღვთა-პროგნოზი'!Q27</f>
        <v>5569014.6272916002</v>
      </c>
      <c r="G3" s="137">
        <f>'გულ-სისხლძარღვთა-პროგნოზი'!S27</f>
        <v>7425352.8363888012</v>
      </c>
      <c r="H3" s="137">
        <f>'გულ-სისხლძარღვთა-პროგნოზი'!U27</f>
        <v>9281691.0454859976</v>
      </c>
    </row>
    <row r="4" spans="1:8">
      <c r="A4" s="134">
        <v>2</v>
      </c>
      <c r="B4" s="135" t="s">
        <v>168</v>
      </c>
      <c r="C4" s="137">
        <f>'პარკინსონი-ეპილეფსია-პროგნოზი'!J12</f>
        <v>296060.03635708004</v>
      </c>
      <c r="D4" s="137">
        <f>'პარკინსონი-ეპილეფსია-პროგნოზი'!N12</f>
        <v>1204136.3767214401</v>
      </c>
      <c r="E4" s="137">
        <f>'პარკინსონი-ეპილეფსია-პროგნოზი'!P12</f>
        <v>6020681.8836071994</v>
      </c>
      <c r="F4" s="137">
        <f>'პარკინსონი-ეპილეფსია-პროგნოზი'!R12</f>
        <v>1806204.5650821598</v>
      </c>
      <c r="G4" s="137">
        <f>'პარკინსონი-ეპილეფსია-პროგნოზი'!T12</f>
        <v>2408272.7534428802</v>
      </c>
      <c r="H4" s="137">
        <f>'პარკინსონი-ეპილეფსია-პროგნოზი'!V12</f>
        <v>3010340.9418035997</v>
      </c>
    </row>
    <row r="5" spans="1:8">
      <c r="A5" s="162">
        <v>3</v>
      </c>
      <c r="B5" s="163" t="s">
        <v>169</v>
      </c>
      <c r="C5" s="137">
        <f>'ფილტვი-პროგნოზი'!I12</f>
        <v>1473747.9934999999</v>
      </c>
      <c r="D5" s="137">
        <f>'ფილტვი-პროგნოზი'!M12</f>
        <v>2316665.9135999996</v>
      </c>
      <c r="E5" s="137">
        <f>'ფილტვი-პროგნოზი'!O12</f>
        <v>11583329.568</v>
      </c>
      <c r="F5" s="137">
        <f>'ფილტვი-პროგნოზი'!Q12</f>
        <v>3474998.8703999999</v>
      </c>
      <c r="G5" s="137">
        <f>'ფილტვი-პროგნოზი'!S12</f>
        <v>4633331.8271999992</v>
      </c>
      <c r="H5" s="137">
        <f>'ფილტვი-პროგნოზი'!U12</f>
        <v>5791664.784</v>
      </c>
    </row>
    <row r="6" spans="1:8">
      <c r="A6" s="122">
        <v>4</v>
      </c>
      <c r="B6" s="163" t="s">
        <v>170</v>
      </c>
      <c r="C6" s="123">
        <f>'დიაბეტი-პროგნოზი'!I8</f>
        <v>874542.52620000008</v>
      </c>
      <c r="D6" s="141">
        <f>'დიაბეტი-პროგნოზი'!M8</f>
        <v>1581013.8306</v>
      </c>
      <c r="E6" s="141">
        <f>'დიაბეტი-პროგნოზი'!O8</f>
        <v>7905069.1530000009</v>
      </c>
      <c r="F6" s="137">
        <f>'დიაბეტი-პროგნოზი'!Q8</f>
        <v>2371520.7459000004</v>
      </c>
      <c r="G6" s="137">
        <f>'დიაბეტი-პროგნოზი'!S8</f>
        <v>3162027.6612</v>
      </c>
      <c r="H6" s="137">
        <f>'დიაბეტი-პროგნოზი'!U8</f>
        <v>3952534.5765000004</v>
      </c>
    </row>
    <row r="7" spans="1:8" ht="30">
      <c r="A7" s="162">
        <v>5</v>
      </c>
      <c r="B7" s="163" t="s">
        <v>171</v>
      </c>
      <c r="C7" s="123">
        <f>'ფარისებრი-პროგნოზი'!I7</f>
        <v>75716.755999999994</v>
      </c>
      <c r="D7" s="141">
        <f>'ფარისებრი-პროგნოზი'!M7</f>
        <v>141638.95240000001</v>
      </c>
      <c r="E7" s="141">
        <f>'ფარისებრი-პროგნოზი'!O7</f>
        <v>708194.76199999999</v>
      </c>
      <c r="F7" s="137">
        <f>'ფარისებრი-პროგნოზი'!Q7</f>
        <v>212458.42859999998</v>
      </c>
      <c r="G7" s="137">
        <f>'ფარისებრი-პროგნოზი'!S7</f>
        <v>283277.90480000002</v>
      </c>
      <c r="H7" s="137">
        <f>'ფარისებრი-პროგნოზი'!U7</f>
        <v>354097.38099999999</v>
      </c>
    </row>
    <row r="8" spans="1:8">
      <c r="C8" s="144">
        <f>SUM(C3:C7)</f>
        <v>4641708.9990197802</v>
      </c>
      <c r="D8" s="144">
        <f t="shared" ref="D8:H8" si="0">SUM(D3:D7)</f>
        <v>8956131.4915158413</v>
      </c>
      <c r="E8" s="144">
        <f t="shared" si="0"/>
        <v>44780657.457579188</v>
      </c>
      <c r="F8" s="144">
        <f t="shared" si="0"/>
        <v>13434197.237273762</v>
      </c>
      <c r="G8" s="144">
        <f t="shared" si="0"/>
        <v>17912262.983031683</v>
      </c>
      <c r="H8" s="144">
        <f t="shared" si="0"/>
        <v>22390328.728789594</v>
      </c>
    </row>
    <row r="9" spans="1:8">
      <c r="B9" s="133" t="s">
        <v>202</v>
      </c>
    </row>
    <row r="10" spans="1:8">
      <c r="B10" s="154">
        <f>'ხარჯი ერთ პაციენტზე გათვლით'!E8</f>
        <v>83.184749086375987</v>
      </c>
      <c r="D10" s="144"/>
      <c r="E10" s="144"/>
      <c r="F10" s="145"/>
      <c r="G10" s="145"/>
      <c r="H10" s="145"/>
    </row>
    <row r="11" spans="1:8" ht="45">
      <c r="B11" s="156" t="s">
        <v>203</v>
      </c>
      <c r="C11" s="160">
        <f>C8/B10</f>
        <v>55800</v>
      </c>
      <c r="D11" s="160">
        <f>D8/B10</f>
        <v>107665.54674843249</v>
      </c>
      <c r="E11" s="160">
        <f>E8/B10</f>
        <v>538327.73374216224</v>
      </c>
      <c r="F11" s="161">
        <f>F8/B10</f>
        <v>161498.32012264876</v>
      </c>
      <c r="G11" s="161">
        <f>G8/B10</f>
        <v>215331.09349686498</v>
      </c>
      <c r="H11" s="161">
        <f>H8/B10</f>
        <v>269163.86687108112</v>
      </c>
    </row>
    <row r="14" spans="1:8">
      <c r="B14" s="155"/>
      <c r="C14" s="155" t="s">
        <v>195</v>
      </c>
      <c r="D14" s="155" t="s">
        <v>196</v>
      </c>
      <c r="E14" s="155" t="s">
        <v>200</v>
      </c>
      <c r="F14" s="151" t="s">
        <v>186</v>
      </c>
      <c r="G14" s="151" t="s">
        <v>187</v>
      </c>
      <c r="H14" s="151" t="s">
        <v>188</v>
      </c>
    </row>
    <row r="15" spans="1:8" ht="45">
      <c r="B15" s="156" t="s">
        <v>204</v>
      </c>
      <c r="C15" s="155"/>
      <c r="D15" s="155"/>
      <c r="E15" s="155"/>
      <c r="F15" s="151"/>
      <c r="G15" s="151"/>
      <c r="H15" s="151"/>
    </row>
    <row r="16" spans="1:8">
      <c r="B16" s="157">
        <v>4070</v>
      </c>
      <c r="C16" s="155">
        <f>B16*2</f>
        <v>8140</v>
      </c>
      <c r="D16" s="155">
        <f>B16*2</f>
        <v>8140</v>
      </c>
      <c r="E16" s="155">
        <f>B16*2</f>
        <v>8140</v>
      </c>
      <c r="F16" s="151">
        <f>B16*2</f>
        <v>8140</v>
      </c>
      <c r="G16" s="151">
        <f>B16*2</f>
        <v>8140</v>
      </c>
      <c r="H16" s="151">
        <f>B16*2</f>
        <v>8140</v>
      </c>
    </row>
    <row r="17" spans="2:8" ht="45">
      <c r="B17" s="156" t="s">
        <v>205</v>
      </c>
      <c r="C17" s="155"/>
      <c r="D17" s="155"/>
      <c r="E17" s="155"/>
      <c r="F17" s="151"/>
      <c r="G17" s="151"/>
      <c r="H17" s="151"/>
    </row>
    <row r="18" spans="2:8">
      <c r="B18" s="157">
        <v>11000</v>
      </c>
      <c r="C18" s="155">
        <f t="shared" ref="C18:H18" si="1">B18+C16</f>
        <v>19140</v>
      </c>
      <c r="D18" s="155">
        <f t="shared" si="1"/>
        <v>27280</v>
      </c>
      <c r="E18" s="155">
        <f t="shared" si="1"/>
        <v>35420</v>
      </c>
      <c r="F18" s="151">
        <f t="shared" si="1"/>
        <v>43560</v>
      </c>
      <c r="G18" s="151">
        <f t="shared" si="1"/>
        <v>51700</v>
      </c>
      <c r="H18" s="151">
        <f t="shared" si="1"/>
        <v>59840</v>
      </c>
    </row>
    <row r="20" spans="2:8" ht="30">
      <c r="B20" s="158" t="s">
        <v>206</v>
      </c>
      <c r="C20" s="159">
        <f>C11+H18</f>
        <v>115640</v>
      </c>
    </row>
  </sheetData>
  <mergeCells count="1">
    <mergeCell ref="D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"/>
  <sheetViews>
    <sheetView workbookViewId="0">
      <selection activeCell="C18" sqref="C18"/>
    </sheetView>
  </sheetViews>
  <sheetFormatPr defaultRowHeight="15"/>
  <cols>
    <col min="1" max="1" width="5.85546875" style="132" customWidth="1"/>
    <col min="2" max="2" width="21.5703125" style="133" customWidth="1"/>
    <col min="3" max="3" width="26.140625" style="133" customWidth="1"/>
    <col min="4" max="4" width="22.85546875" style="131" customWidth="1"/>
    <col min="5" max="5" width="20.85546875" style="131" customWidth="1"/>
    <col min="6" max="16384" width="9.140625" style="131"/>
  </cols>
  <sheetData>
    <row r="2" spans="1:5" ht="43.5" customHeight="1">
      <c r="A2" s="134" t="s">
        <v>0</v>
      </c>
      <c r="B2" s="135" t="s">
        <v>166</v>
      </c>
      <c r="C2" s="147" t="s">
        <v>156</v>
      </c>
      <c r="D2" s="136" t="s">
        <v>201</v>
      </c>
      <c r="E2" s="150" t="s">
        <v>202</v>
      </c>
    </row>
    <row r="3" spans="1:5" ht="30">
      <c r="A3" s="134"/>
      <c r="B3" s="135" t="s">
        <v>167</v>
      </c>
      <c r="C3" s="148">
        <f>'გულ-სისხლძარღვთა-პროგნოზი'!I27</f>
        <v>1921641.6869627002</v>
      </c>
      <c r="D3" s="151"/>
      <c r="E3" s="151"/>
    </row>
    <row r="4" spans="1:5">
      <c r="A4" s="134"/>
      <c r="B4" s="135" t="s">
        <v>168</v>
      </c>
      <c r="C4" s="148">
        <f>'პარკინსონი-ეპილეფსია-პროგნოზი'!J12</f>
        <v>296060.03635708004</v>
      </c>
      <c r="D4" s="151"/>
      <c r="E4" s="151"/>
    </row>
    <row r="5" spans="1:5" ht="30">
      <c r="A5" s="138">
        <v>35</v>
      </c>
      <c r="B5" s="139" t="s">
        <v>169</v>
      </c>
      <c r="C5" s="148">
        <f>'ფილტვი-პროგნოზი'!I12</f>
        <v>1473747.9934999999</v>
      </c>
      <c r="D5" s="151"/>
      <c r="E5" s="151"/>
    </row>
    <row r="6" spans="1:5">
      <c r="A6" s="140">
        <v>36</v>
      </c>
      <c r="B6" s="139" t="s">
        <v>170</v>
      </c>
      <c r="C6" s="149">
        <f>'დიაბეტი-პროგნოზი'!I8</f>
        <v>874542.52620000008</v>
      </c>
      <c r="D6" s="151"/>
      <c r="E6" s="151"/>
    </row>
    <row r="7" spans="1:5" ht="30">
      <c r="A7" s="142">
        <v>37</v>
      </c>
      <c r="B7" s="143" t="s">
        <v>171</v>
      </c>
      <c r="C7" s="149">
        <f>'ფარისებრი-პროგნოზი'!I7</f>
        <v>75716.755999999994</v>
      </c>
      <c r="D7" s="151"/>
      <c r="E7" s="151"/>
    </row>
    <row r="8" spans="1:5">
      <c r="C8" s="152">
        <f>SUM(C3:C7)</f>
        <v>4641708.9990197802</v>
      </c>
      <c r="D8" s="151">
        <v>55800</v>
      </c>
      <c r="E8" s="153">
        <f>C8/D8</f>
        <v>83.184749086375987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7"/>
  <sheetViews>
    <sheetView topLeftCell="A11" workbookViewId="0">
      <selection activeCell="U27" sqref="U27"/>
    </sheetView>
  </sheetViews>
  <sheetFormatPr defaultRowHeight="15"/>
  <cols>
    <col min="1" max="1" width="4" style="9" customWidth="1"/>
    <col min="2" max="2" width="24.42578125" style="9" customWidth="1"/>
    <col min="3" max="3" width="20.42578125" style="172" bestFit="1" customWidth="1"/>
    <col min="4" max="4" width="15.7109375" style="172" bestFit="1" customWidth="1"/>
    <col min="5" max="5" width="11.7109375" style="172" bestFit="1" customWidth="1"/>
    <col min="6" max="6" width="11" style="53" customWidth="1"/>
    <col min="7" max="7" width="15.28515625" style="9" customWidth="1"/>
    <col min="8" max="8" width="12.5703125" style="55" customWidth="1"/>
    <col min="9" max="9" width="20.7109375" style="19" customWidth="1"/>
    <col min="10" max="10" width="20.7109375" style="11" customWidth="1"/>
    <col min="11" max="11" width="20.7109375" style="88" customWidth="1"/>
    <col min="12" max="12" width="16.85546875" style="86" customWidth="1"/>
    <col min="13" max="13" width="16.85546875" style="83" bestFit="1" customWidth="1"/>
    <col min="14" max="14" width="22.7109375" style="13" customWidth="1"/>
    <col min="15" max="15" width="19.42578125" style="9" customWidth="1"/>
    <col min="16" max="16" width="22.7109375" style="13" customWidth="1"/>
    <col min="17" max="17" width="19.42578125" style="9" customWidth="1"/>
    <col min="18" max="18" width="22.7109375" style="13" customWidth="1"/>
    <col min="19" max="19" width="19.42578125" style="9" customWidth="1"/>
    <col min="20" max="20" width="22.7109375" style="13" customWidth="1"/>
    <col min="21" max="21" width="19.42578125" style="9" customWidth="1"/>
    <col min="22" max="188" width="9.140625" style="9"/>
    <col min="189" max="189" width="4" style="9" customWidth="1"/>
    <col min="190" max="190" width="24.42578125" style="9" customWidth="1"/>
    <col min="191" max="191" width="19.85546875" style="9" customWidth="1"/>
    <col min="192" max="192" width="9.28515625" style="9" customWidth="1"/>
    <col min="193" max="193" width="10" style="9" customWidth="1"/>
    <col min="194" max="194" width="8.42578125" style="9" customWidth="1"/>
    <col min="195" max="195" width="12.28515625" style="9" customWidth="1"/>
    <col min="196" max="196" width="7.5703125" style="9" customWidth="1"/>
    <col min="197" max="197" width="7.85546875" style="9" customWidth="1"/>
    <col min="198" max="198" width="8.28515625" style="9" customWidth="1"/>
    <col min="199" max="199" width="9.140625" style="9"/>
    <col min="200" max="202" width="7.5703125" style="9" customWidth="1"/>
    <col min="203" max="203" width="10.28515625" style="9" customWidth="1"/>
    <col min="204" max="204" width="10.5703125" style="9" customWidth="1"/>
    <col min="205" max="205" width="11.140625" style="9" customWidth="1"/>
    <col min="206" max="206" width="10.42578125" style="9" customWidth="1"/>
    <col min="207" max="216" width="11" style="9" customWidth="1"/>
    <col min="217" max="217" width="9.140625" style="9" customWidth="1"/>
    <col min="218" max="218" width="6.85546875" style="9" customWidth="1"/>
    <col min="219" max="219" width="15" style="9" bestFit="1" customWidth="1"/>
    <col min="220" max="444" width="9.140625" style="9"/>
    <col min="445" max="445" width="4" style="9" customWidth="1"/>
    <col min="446" max="446" width="24.42578125" style="9" customWidth="1"/>
    <col min="447" max="447" width="19.85546875" style="9" customWidth="1"/>
    <col min="448" max="448" width="9.28515625" style="9" customWidth="1"/>
    <col min="449" max="449" width="10" style="9" customWidth="1"/>
    <col min="450" max="450" width="8.42578125" style="9" customWidth="1"/>
    <col min="451" max="451" width="12.28515625" style="9" customWidth="1"/>
    <col min="452" max="452" width="7.5703125" style="9" customWidth="1"/>
    <col min="453" max="453" width="7.85546875" style="9" customWidth="1"/>
    <col min="454" max="454" width="8.28515625" style="9" customWidth="1"/>
    <col min="455" max="455" width="9.140625" style="9"/>
    <col min="456" max="458" width="7.5703125" style="9" customWidth="1"/>
    <col min="459" max="459" width="10.28515625" style="9" customWidth="1"/>
    <col min="460" max="460" width="10.5703125" style="9" customWidth="1"/>
    <col min="461" max="461" width="11.140625" style="9" customWidth="1"/>
    <col min="462" max="462" width="10.42578125" style="9" customWidth="1"/>
    <col min="463" max="472" width="11" style="9" customWidth="1"/>
    <col min="473" max="473" width="9.140625" style="9" customWidth="1"/>
    <col min="474" max="474" width="6.85546875" style="9" customWidth="1"/>
    <col min="475" max="475" width="15" style="9" bestFit="1" customWidth="1"/>
    <col min="476" max="700" width="9.140625" style="9"/>
    <col min="701" max="701" width="4" style="9" customWidth="1"/>
    <col min="702" max="702" width="24.42578125" style="9" customWidth="1"/>
    <col min="703" max="703" width="19.85546875" style="9" customWidth="1"/>
    <col min="704" max="704" width="9.28515625" style="9" customWidth="1"/>
    <col min="705" max="705" width="10" style="9" customWidth="1"/>
    <col min="706" max="706" width="8.42578125" style="9" customWidth="1"/>
    <col min="707" max="707" width="12.28515625" style="9" customWidth="1"/>
    <col min="708" max="708" width="7.5703125" style="9" customWidth="1"/>
    <col min="709" max="709" width="7.85546875" style="9" customWidth="1"/>
    <col min="710" max="710" width="8.28515625" style="9" customWidth="1"/>
    <col min="711" max="711" width="9.140625" style="9"/>
    <col min="712" max="714" width="7.5703125" style="9" customWidth="1"/>
    <col min="715" max="715" width="10.28515625" style="9" customWidth="1"/>
    <col min="716" max="716" width="10.5703125" style="9" customWidth="1"/>
    <col min="717" max="717" width="11.140625" style="9" customWidth="1"/>
    <col min="718" max="718" width="10.42578125" style="9" customWidth="1"/>
    <col min="719" max="728" width="11" style="9" customWidth="1"/>
    <col min="729" max="729" width="9.140625" style="9" customWidth="1"/>
    <col min="730" max="730" width="6.85546875" style="9" customWidth="1"/>
    <col min="731" max="731" width="15" style="9" bestFit="1" customWidth="1"/>
    <col min="732" max="956" width="9.140625" style="9"/>
    <col min="957" max="957" width="4" style="9" customWidth="1"/>
    <col min="958" max="958" width="24.42578125" style="9" customWidth="1"/>
    <col min="959" max="959" width="19.85546875" style="9" customWidth="1"/>
    <col min="960" max="960" width="9.28515625" style="9" customWidth="1"/>
    <col min="961" max="961" width="10" style="9" customWidth="1"/>
    <col min="962" max="962" width="8.42578125" style="9" customWidth="1"/>
    <col min="963" max="963" width="12.28515625" style="9" customWidth="1"/>
    <col min="964" max="964" width="7.5703125" style="9" customWidth="1"/>
    <col min="965" max="965" width="7.85546875" style="9" customWidth="1"/>
    <col min="966" max="966" width="8.28515625" style="9" customWidth="1"/>
    <col min="967" max="967" width="9.140625" style="9"/>
    <col min="968" max="970" width="7.5703125" style="9" customWidth="1"/>
    <col min="971" max="971" width="10.28515625" style="9" customWidth="1"/>
    <col min="972" max="972" width="10.5703125" style="9" customWidth="1"/>
    <col min="973" max="973" width="11.140625" style="9" customWidth="1"/>
    <col min="974" max="974" width="10.42578125" style="9" customWidth="1"/>
    <col min="975" max="984" width="11" style="9" customWidth="1"/>
    <col min="985" max="985" width="9.140625" style="9" customWidth="1"/>
    <col min="986" max="986" width="6.85546875" style="9" customWidth="1"/>
    <col min="987" max="987" width="15" style="9" bestFit="1" customWidth="1"/>
    <col min="988" max="1212" width="9.140625" style="9"/>
    <col min="1213" max="1213" width="4" style="9" customWidth="1"/>
    <col min="1214" max="1214" width="24.42578125" style="9" customWidth="1"/>
    <col min="1215" max="1215" width="19.85546875" style="9" customWidth="1"/>
    <col min="1216" max="1216" width="9.28515625" style="9" customWidth="1"/>
    <col min="1217" max="1217" width="10" style="9" customWidth="1"/>
    <col min="1218" max="1218" width="8.42578125" style="9" customWidth="1"/>
    <col min="1219" max="1219" width="12.28515625" style="9" customWidth="1"/>
    <col min="1220" max="1220" width="7.5703125" style="9" customWidth="1"/>
    <col min="1221" max="1221" width="7.85546875" style="9" customWidth="1"/>
    <col min="1222" max="1222" width="8.28515625" style="9" customWidth="1"/>
    <col min="1223" max="1223" width="9.140625" style="9"/>
    <col min="1224" max="1226" width="7.5703125" style="9" customWidth="1"/>
    <col min="1227" max="1227" width="10.28515625" style="9" customWidth="1"/>
    <col min="1228" max="1228" width="10.5703125" style="9" customWidth="1"/>
    <col min="1229" max="1229" width="11.140625" style="9" customWidth="1"/>
    <col min="1230" max="1230" width="10.42578125" style="9" customWidth="1"/>
    <col min="1231" max="1240" width="11" style="9" customWidth="1"/>
    <col min="1241" max="1241" width="9.140625" style="9" customWidth="1"/>
    <col min="1242" max="1242" width="6.85546875" style="9" customWidth="1"/>
    <col min="1243" max="1243" width="15" style="9" bestFit="1" customWidth="1"/>
    <col min="1244" max="1468" width="9.140625" style="9"/>
    <col min="1469" max="1469" width="4" style="9" customWidth="1"/>
    <col min="1470" max="1470" width="24.42578125" style="9" customWidth="1"/>
    <col min="1471" max="1471" width="19.85546875" style="9" customWidth="1"/>
    <col min="1472" max="1472" width="9.28515625" style="9" customWidth="1"/>
    <col min="1473" max="1473" width="10" style="9" customWidth="1"/>
    <col min="1474" max="1474" width="8.42578125" style="9" customWidth="1"/>
    <col min="1475" max="1475" width="12.28515625" style="9" customWidth="1"/>
    <col min="1476" max="1476" width="7.5703125" style="9" customWidth="1"/>
    <col min="1477" max="1477" width="7.85546875" style="9" customWidth="1"/>
    <col min="1478" max="1478" width="8.28515625" style="9" customWidth="1"/>
    <col min="1479" max="1479" width="9.140625" style="9"/>
    <col min="1480" max="1482" width="7.5703125" style="9" customWidth="1"/>
    <col min="1483" max="1483" width="10.28515625" style="9" customWidth="1"/>
    <col min="1484" max="1484" width="10.5703125" style="9" customWidth="1"/>
    <col min="1485" max="1485" width="11.140625" style="9" customWidth="1"/>
    <col min="1486" max="1486" width="10.42578125" style="9" customWidth="1"/>
    <col min="1487" max="1496" width="11" style="9" customWidth="1"/>
    <col min="1497" max="1497" width="9.140625" style="9" customWidth="1"/>
    <col min="1498" max="1498" width="6.85546875" style="9" customWidth="1"/>
    <col min="1499" max="1499" width="15" style="9" bestFit="1" customWidth="1"/>
    <col min="1500" max="1724" width="9.140625" style="9"/>
    <col min="1725" max="1725" width="4" style="9" customWidth="1"/>
    <col min="1726" max="1726" width="24.42578125" style="9" customWidth="1"/>
    <col min="1727" max="1727" width="19.85546875" style="9" customWidth="1"/>
    <col min="1728" max="1728" width="9.28515625" style="9" customWidth="1"/>
    <col min="1729" max="1729" width="10" style="9" customWidth="1"/>
    <col min="1730" max="1730" width="8.42578125" style="9" customWidth="1"/>
    <col min="1731" max="1731" width="12.28515625" style="9" customWidth="1"/>
    <col min="1732" max="1732" width="7.5703125" style="9" customWidth="1"/>
    <col min="1733" max="1733" width="7.85546875" style="9" customWidth="1"/>
    <col min="1734" max="1734" width="8.28515625" style="9" customWidth="1"/>
    <col min="1735" max="1735" width="9.140625" style="9"/>
    <col min="1736" max="1738" width="7.5703125" style="9" customWidth="1"/>
    <col min="1739" max="1739" width="10.28515625" style="9" customWidth="1"/>
    <col min="1740" max="1740" width="10.5703125" style="9" customWidth="1"/>
    <col min="1741" max="1741" width="11.140625" style="9" customWidth="1"/>
    <col min="1742" max="1742" width="10.42578125" style="9" customWidth="1"/>
    <col min="1743" max="1752" width="11" style="9" customWidth="1"/>
    <col min="1753" max="1753" width="9.140625" style="9" customWidth="1"/>
    <col min="1754" max="1754" width="6.85546875" style="9" customWidth="1"/>
    <col min="1755" max="1755" width="15" style="9" bestFit="1" customWidth="1"/>
    <col min="1756" max="1980" width="9.140625" style="9"/>
    <col min="1981" max="1981" width="4" style="9" customWidth="1"/>
    <col min="1982" max="1982" width="24.42578125" style="9" customWidth="1"/>
    <col min="1983" max="1983" width="19.85546875" style="9" customWidth="1"/>
    <col min="1984" max="1984" width="9.28515625" style="9" customWidth="1"/>
    <col min="1985" max="1985" width="10" style="9" customWidth="1"/>
    <col min="1986" max="1986" width="8.42578125" style="9" customWidth="1"/>
    <col min="1987" max="1987" width="12.28515625" style="9" customWidth="1"/>
    <col min="1988" max="1988" width="7.5703125" style="9" customWidth="1"/>
    <col min="1989" max="1989" width="7.85546875" style="9" customWidth="1"/>
    <col min="1990" max="1990" width="8.28515625" style="9" customWidth="1"/>
    <col min="1991" max="1991" width="9.140625" style="9"/>
    <col min="1992" max="1994" width="7.5703125" style="9" customWidth="1"/>
    <col min="1995" max="1995" width="10.28515625" style="9" customWidth="1"/>
    <col min="1996" max="1996" width="10.5703125" style="9" customWidth="1"/>
    <col min="1997" max="1997" width="11.140625" style="9" customWidth="1"/>
    <col min="1998" max="1998" width="10.42578125" style="9" customWidth="1"/>
    <col min="1999" max="2008" width="11" style="9" customWidth="1"/>
    <col min="2009" max="2009" width="9.140625" style="9" customWidth="1"/>
    <col min="2010" max="2010" width="6.85546875" style="9" customWidth="1"/>
    <col min="2011" max="2011" width="15" style="9" bestFit="1" customWidth="1"/>
    <col min="2012" max="2236" width="9.140625" style="9"/>
    <col min="2237" max="2237" width="4" style="9" customWidth="1"/>
    <col min="2238" max="2238" width="24.42578125" style="9" customWidth="1"/>
    <col min="2239" max="2239" width="19.85546875" style="9" customWidth="1"/>
    <col min="2240" max="2240" width="9.28515625" style="9" customWidth="1"/>
    <col min="2241" max="2241" width="10" style="9" customWidth="1"/>
    <col min="2242" max="2242" width="8.42578125" style="9" customWidth="1"/>
    <col min="2243" max="2243" width="12.28515625" style="9" customWidth="1"/>
    <col min="2244" max="2244" width="7.5703125" style="9" customWidth="1"/>
    <col min="2245" max="2245" width="7.85546875" style="9" customWidth="1"/>
    <col min="2246" max="2246" width="8.28515625" style="9" customWidth="1"/>
    <col min="2247" max="2247" width="9.140625" style="9"/>
    <col min="2248" max="2250" width="7.5703125" style="9" customWidth="1"/>
    <col min="2251" max="2251" width="10.28515625" style="9" customWidth="1"/>
    <col min="2252" max="2252" width="10.5703125" style="9" customWidth="1"/>
    <col min="2253" max="2253" width="11.140625" style="9" customWidth="1"/>
    <col min="2254" max="2254" width="10.42578125" style="9" customWidth="1"/>
    <col min="2255" max="2264" width="11" style="9" customWidth="1"/>
    <col min="2265" max="2265" width="9.140625" style="9" customWidth="1"/>
    <col min="2266" max="2266" width="6.85546875" style="9" customWidth="1"/>
    <col min="2267" max="2267" width="15" style="9" bestFit="1" customWidth="1"/>
    <col min="2268" max="2492" width="9.140625" style="9"/>
    <col min="2493" max="2493" width="4" style="9" customWidth="1"/>
    <col min="2494" max="2494" width="24.42578125" style="9" customWidth="1"/>
    <col min="2495" max="2495" width="19.85546875" style="9" customWidth="1"/>
    <col min="2496" max="2496" width="9.28515625" style="9" customWidth="1"/>
    <col min="2497" max="2497" width="10" style="9" customWidth="1"/>
    <col min="2498" max="2498" width="8.42578125" style="9" customWidth="1"/>
    <col min="2499" max="2499" width="12.28515625" style="9" customWidth="1"/>
    <col min="2500" max="2500" width="7.5703125" style="9" customWidth="1"/>
    <col min="2501" max="2501" width="7.85546875" style="9" customWidth="1"/>
    <col min="2502" max="2502" width="8.28515625" style="9" customWidth="1"/>
    <col min="2503" max="2503" width="9.140625" style="9"/>
    <col min="2504" max="2506" width="7.5703125" style="9" customWidth="1"/>
    <col min="2507" max="2507" width="10.28515625" style="9" customWidth="1"/>
    <col min="2508" max="2508" width="10.5703125" style="9" customWidth="1"/>
    <col min="2509" max="2509" width="11.140625" style="9" customWidth="1"/>
    <col min="2510" max="2510" width="10.42578125" style="9" customWidth="1"/>
    <col min="2511" max="2520" width="11" style="9" customWidth="1"/>
    <col min="2521" max="2521" width="9.140625" style="9" customWidth="1"/>
    <col min="2522" max="2522" width="6.85546875" style="9" customWidth="1"/>
    <col min="2523" max="2523" width="15" style="9" bestFit="1" customWidth="1"/>
    <col min="2524" max="2748" width="9.140625" style="9"/>
    <col min="2749" max="2749" width="4" style="9" customWidth="1"/>
    <col min="2750" max="2750" width="24.42578125" style="9" customWidth="1"/>
    <col min="2751" max="2751" width="19.85546875" style="9" customWidth="1"/>
    <col min="2752" max="2752" width="9.28515625" style="9" customWidth="1"/>
    <col min="2753" max="2753" width="10" style="9" customWidth="1"/>
    <col min="2754" max="2754" width="8.42578125" style="9" customWidth="1"/>
    <col min="2755" max="2755" width="12.28515625" style="9" customWidth="1"/>
    <col min="2756" max="2756" width="7.5703125" style="9" customWidth="1"/>
    <col min="2757" max="2757" width="7.85546875" style="9" customWidth="1"/>
    <col min="2758" max="2758" width="8.28515625" style="9" customWidth="1"/>
    <col min="2759" max="2759" width="9.140625" style="9"/>
    <col min="2760" max="2762" width="7.5703125" style="9" customWidth="1"/>
    <col min="2763" max="2763" width="10.28515625" style="9" customWidth="1"/>
    <col min="2764" max="2764" width="10.5703125" style="9" customWidth="1"/>
    <col min="2765" max="2765" width="11.140625" style="9" customWidth="1"/>
    <col min="2766" max="2766" width="10.42578125" style="9" customWidth="1"/>
    <col min="2767" max="2776" width="11" style="9" customWidth="1"/>
    <col min="2777" max="2777" width="9.140625" style="9" customWidth="1"/>
    <col min="2778" max="2778" width="6.85546875" style="9" customWidth="1"/>
    <col min="2779" max="2779" width="15" style="9" bestFit="1" customWidth="1"/>
    <col min="2780" max="3004" width="9.140625" style="9"/>
    <col min="3005" max="3005" width="4" style="9" customWidth="1"/>
    <col min="3006" max="3006" width="24.42578125" style="9" customWidth="1"/>
    <col min="3007" max="3007" width="19.85546875" style="9" customWidth="1"/>
    <col min="3008" max="3008" width="9.28515625" style="9" customWidth="1"/>
    <col min="3009" max="3009" width="10" style="9" customWidth="1"/>
    <col min="3010" max="3010" width="8.42578125" style="9" customWidth="1"/>
    <col min="3011" max="3011" width="12.28515625" style="9" customWidth="1"/>
    <col min="3012" max="3012" width="7.5703125" style="9" customWidth="1"/>
    <col min="3013" max="3013" width="7.85546875" style="9" customWidth="1"/>
    <col min="3014" max="3014" width="8.28515625" style="9" customWidth="1"/>
    <col min="3015" max="3015" width="9.140625" style="9"/>
    <col min="3016" max="3018" width="7.5703125" style="9" customWidth="1"/>
    <col min="3019" max="3019" width="10.28515625" style="9" customWidth="1"/>
    <col min="3020" max="3020" width="10.5703125" style="9" customWidth="1"/>
    <col min="3021" max="3021" width="11.140625" style="9" customWidth="1"/>
    <col min="3022" max="3022" width="10.42578125" style="9" customWidth="1"/>
    <col min="3023" max="3032" width="11" style="9" customWidth="1"/>
    <col min="3033" max="3033" width="9.140625" style="9" customWidth="1"/>
    <col min="3034" max="3034" width="6.85546875" style="9" customWidth="1"/>
    <col min="3035" max="3035" width="15" style="9" bestFit="1" customWidth="1"/>
    <col min="3036" max="3260" width="9.140625" style="9"/>
    <col min="3261" max="3261" width="4" style="9" customWidth="1"/>
    <col min="3262" max="3262" width="24.42578125" style="9" customWidth="1"/>
    <col min="3263" max="3263" width="19.85546875" style="9" customWidth="1"/>
    <col min="3264" max="3264" width="9.28515625" style="9" customWidth="1"/>
    <col min="3265" max="3265" width="10" style="9" customWidth="1"/>
    <col min="3266" max="3266" width="8.42578125" style="9" customWidth="1"/>
    <col min="3267" max="3267" width="12.28515625" style="9" customWidth="1"/>
    <col min="3268" max="3268" width="7.5703125" style="9" customWidth="1"/>
    <col min="3269" max="3269" width="7.85546875" style="9" customWidth="1"/>
    <col min="3270" max="3270" width="8.28515625" style="9" customWidth="1"/>
    <col min="3271" max="3271" width="9.140625" style="9"/>
    <col min="3272" max="3274" width="7.5703125" style="9" customWidth="1"/>
    <col min="3275" max="3275" width="10.28515625" style="9" customWidth="1"/>
    <col min="3276" max="3276" width="10.5703125" style="9" customWidth="1"/>
    <col min="3277" max="3277" width="11.140625" style="9" customWidth="1"/>
    <col min="3278" max="3278" width="10.42578125" style="9" customWidth="1"/>
    <col min="3279" max="3288" width="11" style="9" customWidth="1"/>
    <col min="3289" max="3289" width="9.140625" style="9" customWidth="1"/>
    <col min="3290" max="3290" width="6.85546875" style="9" customWidth="1"/>
    <col min="3291" max="3291" width="15" style="9" bestFit="1" customWidth="1"/>
    <col min="3292" max="3516" width="9.140625" style="9"/>
    <col min="3517" max="3517" width="4" style="9" customWidth="1"/>
    <col min="3518" max="3518" width="24.42578125" style="9" customWidth="1"/>
    <col min="3519" max="3519" width="19.85546875" style="9" customWidth="1"/>
    <col min="3520" max="3520" width="9.28515625" style="9" customWidth="1"/>
    <col min="3521" max="3521" width="10" style="9" customWidth="1"/>
    <col min="3522" max="3522" width="8.42578125" style="9" customWidth="1"/>
    <col min="3523" max="3523" width="12.28515625" style="9" customWidth="1"/>
    <col min="3524" max="3524" width="7.5703125" style="9" customWidth="1"/>
    <col min="3525" max="3525" width="7.85546875" style="9" customWidth="1"/>
    <col min="3526" max="3526" width="8.28515625" style="9" customWidth="1"/>
    <col min="3527" max="3527" width="9.140625" style="9"/>
    <col min="3528" max="3530" width="7.5703125" style="9" customWidth="1"/>
    <col min="3531" max="3531" width="10.28515625" style="9" customWidth="1"/>
    <col min="3532" max="3532" width="10.5703125" style="9" customWidth="1"/>
    <col min="3533" max="3533" width="11.140625" style="9" customWidth="1"/>
    <col min="3534" max="3534" width="10.42578125" style="9" customWidth="1"/>
    <col min="3535" max="3544" width="11" style="9" customWidth="1"/>
    <col min="3545" max="3545" width="9.140625" style="9" customWidth="1"/>
    <col min="3546" max="3546" width="6.85546875" style="9" customWidth="1"/>
    <col min="3547" max="3547" width="15" style="9" bestFit="1" customWidth="1"/>
    <col min="3548" max="3772" width="9.140625" style="9"/>
    <col min="3773" max="3773" width="4" style="9" customWidth="1"/>
    <col min="3774" max="3774" width="24.42578125" style="9" customWidth="1"/>
    <col min="3775" max="3775" width="19.85546875" style="9" customWidth="1"/>
    <col min="3776" max="3776" width="9.28515625" style="9" customWidth="1"/>
    <col min="3777" max="3777" width="10" style="9" customWidth="1"/>
    <col min="3778" max="3778" width="8.42578125" style="9" customWidth="1"/>
    <col min="3779" max="3779" width="12.28515625" style="9" customWidth="1"/>
    <col min="3780" max="3780" width="7.5703125" style="9" customWidth="1"/>
    <col min="3781" max="3781" width="7.85546875" style="9" customWidth="1"/>
    <col min="3782" max="3782" width="8.28515625" style="9" customWidth="1"/>
    <col min="3783" max="3783" width="9.140625" style="9"/>
    <col min="3784" max="3786" width="7.5703125" style="9" customWidth="1"/>
    <col min="3787" max="3787" width="10.28515625" style="9" customWidth="1"/>
    <col min="3788" max="3788" width="10.5703125" style="9" customWidth="1"/>
    <col min="3789" max="3789" width="11.140625" style="9" customWidth="1"/>
    <col min="3790" max="3790" width="10.42578125" style="9" customWidth="1"/>
    <col min="3791" max="3800" width="11" style="9" customWidth="1"/>
    <col min="3801" max="3801" width="9.140625" style="9" customWidth="1"/>
    <col min="3802" max="3802" width="6.85546875" style="9" customWidth="1"/>
    <col min="3803" max="3803" width="15" style="9" bestFit="1" customWidth="1"/>
    <col min="3804" max="4028" width="9.140625" style="9"/>
    <col min="4029" max="4029" width="4" style="9" customWidth="1"/>
    <col min="4030" max="4030" width="24.42578125" style="9" customWidth="1"/>
    <col min="4031" max="4031" width="19.85546875" style="9" customWidth="1"/>
    <col min="4032" max="4032" width="9.28515625" style="9" customWidth="1"/>
    <col min="4033" max="4033" width="10" style="9" customWidth="1"/>
    <col min="4034" max="4034" width="8.42578125" style="9" customWidth="1"/>
    <col min="4035" max="4035" width="12.28515625" style="9" customWidth="1"/>
    <col min="4036" max="4036" width="7.5703125" style="9" customWidth="1"/>
    <col min="4037" max="4037" width="7.85546875" style="9" customWidth="1"/>
    <col min="4038" max="4038" width="8.28515625" style="9" customWidth="1"/>
    <col min="4039" max="4039" width="9.140625" style="9"/>
    <col min="4040" max="4042" width="7.5703125" style="9" customWidth="1"/>
    <col min="4043" max="4043" width="10.28515625" style="9" customWidth="1"/>
    <col min="4044" max="4044" width="10.5703125" style="9" customWidth="1"/>
    <col min="4045" max="4045" width="11.140625" style="9" customWidth="1"/>
    <col min="4046" max="4046" width="10.42578125" style="9" customWidth="1"/>
    <col min="4047" max="4056" width="11" style="9" customWidth="1"/>
    <col min="4057" max="4057" width="9.140625" style="9" customWidth="1"/>
    <col min="4058" max="4058" width="6.85546875" style="9" customWidth="1"/>
    <col min="4059" max="4059" width="15" style="9" bestFit="1" customWidth="1"/>
    <col min="4060" max="4284" width="9.140625" style="9"/>
    <col min="4285" max="4285" width="4" style="9" customWidth="1"/>
    <col min="4286" max="4286" width="24.42578125" style="9" customWidth="1"/>
    <col min="4287" max="4287" width="19.85546875" style="9" customWidth="1"/>
    <col min="4288" max="4288" width="9.28515625" style="9" customWidth="1"/>
    <col min="4289" max="4289" width="10" style="9" customWidth="1"/>
    <col min="4290" max="4290" width="8.42578125" style="9" customWidth="1"/>
    <col min="4291" max="4291" width="12.28515625" style="9" customWidth="1"/>
    <col min="4292" max="4292" width="7.5703125" style="9" customWidth="1"/>
    <col min="4293" max="4293" width="7.85546875" style="9" customWidth="1"/>
    <col min="4294" max="4294" width="8.28515625" style="9" customWidth="1"/>
    <col min="4295" max="4295" width="9.140625" style="9"/>
    <col min="4296" max="4298" width="7.5703125" style="9" customWidth="1"/>
    <col min="4299" max="4299" width="10.28515625" style="9" customWidth="1"/>
    <col min="4300" max="4300" width="10.5703125" style="9" customWidth="1"/>
    <col min="4301" max="4301" width="11.140625" style="9" customWidth="1"/>
    <col min="4302" max="4302" width="10.42578125" style="9" customWidth="1"/>
    <col min="4303" max="4312" width="11" style="9" customWidth="1"/>
    <col min="4313" max="4313" width="9.140625" style="9" customWidth="1"/>
    <col min="4314" max="4314" width="6.85546875" style="9" customWidth="1"/>
    <col min="4315" max="4315" width="15" style="9" bestFit="1" customWidth="1"/>
    <col min="4316" max="4540" width="9.140625" style="9"/>
    <col min="4541" max="4541" width="4" style="9" customWidth="1"/>
    <col min="4542" max="4542" width="24.42578125" style="9" customWidth="1"/>
    <col min="4543" max="4543" width="19.85546875" style="9" customWidth="1"/>
    <col min="4544" max="4544" width="9.28515625" style="9" customWidth="1"/>
    <col min="4545" max="4545" width="10" style="9" customWidth="1"/>
    <col min="4546" max="4546" width="8.42578125" style="9" customWidth="1"/>
    <col min="4547" max="4547" width="12.28515625" style="9" customWidth="1"/>
    <col min="4548" max="4548" width="7.5703125" style="9" customWidth="1"/>
    <col min="4549" max="4549" width="7.85546875" style="9" customWidth="1"/>
    <col min="4550" max="4550" width="8.28515625" style="9" customWidth="1"/>
    <col min="4551" max="4551" width="9.140625" style="9"/>
    <col min="4552" max="4554" width="7.5703125" style="9" customWidth="1"/>
    <col min="4555" max="4555" width="10.28515625" style="9" customWidth="1"/>
    <col min="4556" max="4556" width="10.5703125" style="9" customWidth="1"/>
    <col min="4557" max="4557" width="11.140625" style="9" customWidth="1"/>
    <col min="4558" max="4558" width="10.42578125" style="9" customWidth="1"/>
    <col min="4559" max="4568" width="11" style="9" customWidth="1"/>
    <col min="4569" max="4569" width="9.140625" style="9" customWidth="1"/>
    <col min="4570" max="4570" width="6.85546875" style="9" customWidth="1"/>
    <col min="4571" max="4571" width="15" style="9" bestFit="1" customWidth="1"/>
    <col min="4572" max="4796" width="9.140625" style="9"/>
    <col min="4797" max="4797" width="4" style="9" customWidth="1"/>
    <col min="4798" max="4798" width="24.42578125" style="9" customWidth="1"/>
    <col min="4799" max="4799" width="19.85546875" style="9" customWidth="1"/>
    <col min="4800" max="4800" width="9.28515625" style="9" customWidth="1"/>
    <col min="4801" max="4801" width="10" style="9" customWidth="1"/>
    <col min="4802" max="4802" width="8.42578125" style="9" customWidth="1"/>
    <col min="4803" max="4803" width="12.28515625" style="9" customWidth="1"/>
    <col min="4804" max="4804" width="7.5703125" style="9" customWidth="1"/>
    <col min="4805" max="4805" width="7.85546875" style="9" customWidth="1"/>
    <col min="4806" max="4806" width="8.28515625" style="9" customWidth="1"/>
    <col min="4807" max="4807" width="9.140625" style="9"/>
    <col min="4808" max="4810" width="7.5703125" style="9" customWidth="1"/>
    <col min="4811" max="4811" width="10.28515625" style="9" customWidth="1"/>
    <col min="4812" max="4812" width="10.5703125" style="9" customWidth="1"/>
    <col min="4813" max="4813" width="11.140625" style="9" customWidth="1"/>
    <col min="4814" max="4814" width="10.42578125" style="9" customWidth="1"/>
    <col min="4815" max="4824" width="11" style="9" customWidth="1"/>
    <col min="4825" max="4825" width="9.140625" style="9" customWidth="1"/>
    <col min="4826" max="4826" width="6.85546875" style="9" customWidth="1"/>
    <col min="4827" max="4827" width="15" style="9" bestFit="1" customWidth="1"/>
    <col min="4828" max="5052" width="9.140625" style="9"/>
    <col min="5053" max="5053" width="4" style="9" customWidth="1"/>
    <col min="5054" max="5054" width="24.42578125" style="9" customWidth="1"/>
    <col min="5055" max="5055" width="19.85546875" style="9" customWidth="1"/>
    <col min="5056" max="5056" width="9.28515625" style="9" customWidth="1"/>
    <col min="5057" max="5057" width="10" style="9" customWidth="1"/>
    <col min="5058" max="5058" width="8.42578125" style="9" customWidth="1"/>
    <col min="5059" max="5059" width="12.28515625" style="9" customWidth="1"/>
    <col min="5060" max="5060" width="7.5703125" style="9" customWidth="1"/>
    <col min="5061" max="5061" width="7.85546875" style="9" customWidth="1"/>
    <col min="5062" max="5062" width="8.28515625" style="9" customWidth="1"/>
    <col min="5063" max="5063" width="9.140625" style="9"/>
    <col min="5064" max="5066" width="7.5703125" style="9" customWidth="1"/>
    <col min="5067" max="5067" width="10.28515625" style="9" customWidth="1"/>
    <col min="5068" max="5068" width="10.5703125" style="9" customWidth="1"/>
    <col min="5069" max="5069" width="11.140625" style="9" customWidth="1"/>
    <col min="5070" max="5070" width="10.42578125" style="9" customWidth="1"/>
    <col min="5071" max="5080" width="11" style="9" customWidth="1"/>
    <col min="5081" max="5081" width="9.140625" style="9" customWidth="1"/>
    <col min="5082" max="5082" width="6.85546875" style="9" customWidth="1"/>
    <col min="5083" max="5083" width="15" style="9" bestFit="1" customWidth="1"/>
    <col min="5084" max="5308" width="9.140625" style="9"/>
    <col min="5309" max="5309" width="4" style="9" customWidth="1"/>
    <col min="5310" max="5310" width="24.42578125" style="9" customWidth="1"/>
    <col min="5311" max="5311" width="19.85546875" style="9" customWidth="1"/>
    <col min="5312" max="5312" width="9.28515625" style="9" customWidth="1"/>
    <col min="5313" max="5313" width="10" style="9" customWidth="1"/>
    <col min="5314" max="5314" width="8.42578125" style="9" customWidth="1"/>
    <col min="5315" max="5315" width="12.28515625" style="9" customWidth="1"/>
    <col min="5316" max="5316" width="7.5703125" style="9" customWidth="1"/>
    <col min="5317" max="5317" width="7.85546875" style="9" customWidth="1"/>
    <col min="5318" max="5318" width="8.28515625" style="9" customWidth="1"/>
    <col min="5319" max="5319" width="9.140625" style="9"/>
    <col min="5320" max="5322" width="7.5703125" style="9" customWidth="1"/>
    <col min="5323" max="5323" width="10.28515625" style="9" customWidth="1"/>
    <col min="5324" max="5324" width="10.5703125" style="9" customWidth="1"/>
    <col min="5325" max="5325" width="11.140625" style="9" customWidth="1"/>
    <col min="5326" max="5326" width="10.42578125" style="9" customWidth="1"/>
    <col min="5327" max="5336" width="11" style="9" customWidth="1"/>
    <col min="5337" max="5337" width="9.140625" style="9" customWidth="1"/>
    <col min="5338" max="5338" width="6.85546875" style="9" customWidth="1"/>
    <col min="5339" max="5339" width="15" style="9" bestFit="1" customWidth="1"/>
    <col min="5340" max="5564" width="9.140625" style="9"/>
    <col min="5565" max="5565" width="4" style="9" customWidth="1"/>
    <col min="5566" max="5566" width="24.42578125" style="9" customWidth="1"/>
    <col min="5567" max="5567" width="19.85546875" style="9" customWidth="1"/>
    <col min="5568" max="5568" width="9.28515625" style="9" customWidth="1"/>
    <col min="5569" max="5569" width="10" style="9" customWidth="1"/>
    <col min="5570" max="5570" width="8.42578125" style="9" customWidth="1"/>
    <col min="5571" max="5571" width="12.28515625" style="9" customWidth="1"/>
    <col min="5572" max="5572" width="7.5703125" style="9" customWidth="1"/>
    <col min="5573" max="5573" width="7.85546875" style="9" customWidth="1"/>
    <col min="5574" max="5574" width="8.28515625" style="9" customWidth="1"/>
    <col min="5575" max="5575" width="9.140625" style="9"/>
    <col min="5576" max="5578" width="7.5703125" style="9" customWidth="1"/>
    <col min="5579" max="5579" width="10.28515625" style="9" customWidth="1"/>
    <col min="5580" max="5580" width="10.5703125" style="9" customWidth="1"/>
    <col min="5581" max="5581" width="11.140625" style="9" customWidth="1"/>
    <col min="5582" max="5582" width="10.42578125" style="9" customWidth="1"/>
    <col min="5583" max="5592" width="11" style="9" customWidth="1"/>
    <col min="5593" max="5593" width="9.140625" style="9" customWidth="1"/>
    <col min="5594" max="5594" width="6.85546875" style="9" customWidth="1"/>
    <col min="5595" max="5595" width="15" style="9" bestFit="1" customWidth="1"/>
    <col min="5596" max="5820" width="9.140625" style="9"/>
    <col min="5821" max="5821" width="4" style="9" customWidth="1"/>
    <col min="5822" max="5822" width="24.42578125" style="9" customWidth="1"/>
    <col min="5823" max="5823" width="19.85546875" style="9" customWidth="1"/>
    <col min="5824" max="5824" width="9.28515625" style="9" customWidth="1"/>
    <col min="5825" max="5825" width="10" style="9" customWidth="1"/>
    <col min="5826" max="5826" width="8.42578125" style="9" customWidth="1"/>
    <col min="5827" max="5827" width="12.28515625" style="9" customWidth="1"/>
    <col min="5828" max="5828" width="7.5703125" style="9" customWidth="1"/>
    <col min="5829" max="5829" width="7.85546875" style="9" customWidth="1"/>
    <col min="5830" max="5830" width="8.28515625" style="9" customWidth="1"/>
    <col min="5831" max="5831" width="9.140625" style="9"/>
    <col min="5832" max="5834" width="7.5703125" style="9" customWidth="1"/>
    <col min="5835" max="5835" width="10.28515625" style="9" customWidth="1"/>
    <col min="5836" max="5836" width="10.5703125" style="9" customWidth="1"/>
    <col min="5837" max="5837" width="11.140625" style="9" customWidth="1"/>
    <col min="5838" max="5838" width="10.42578125" style="9" customWidth="1"/>
    <col min="5839" max="5848" width="11" style="9" customWidth="1"/>
    <col min="5849" max="5849" width="9.140625" style="9" customWidth="1"/>
    <col min="5850" max="5850" width="6.85546875" style="9" customWidth="1"/>
    <col min="5851" max="5851" width="15" style="9" bestFit="1" customWidth="1"/>
    <col min="5852" max="6076" width="9.140625" style="9"/>
    <col min="6077" max="6077" width="4" style="9" customWidth="1"/>
    <col min="6078" max="6078" width="24.42578125" style="9" customWidth="1"/>
    <col min="6079" max="6079" width="19.85546875" style="9" customWidth="1"/>
    <col min="6080" max="6080" width="9.28515625" style="9" customWidth="1"/>
    <col min="6081" max="6081" width="10" style="9" customWidth="1"/>
    <col min="6082" max="6082" width="8.42578125" style="9" customWidth="1"/>
    <col min="6083" max="6083" width="12.28515625" style="9" customWidth="1"/>
    <col min="6084" max="6084" width="7.5703125" style="9" customWidth="1"/>
    <col min="6085" max="6085" width="7.85546875" style="9" customWidth="1"/>
    <col min="6086" max="6086" width="8.28515625" style="9" customWidth="1"/>
    <col min="6087" max="6087" width="9.140625" style="9"/>
    <col min="6088" max="6090" width="7.5703125" style="9" customWidth="1"/>
    <col min="6091" max="6091" width="10.28515625" style="9" customWidth="1"/>
    <col min="6092" max="6092" width="10.5703125" style="9" customWidth="1"/>
    <col min="6093" max="6093" width="11.140625" style="9" customWidth="1"/>
    <col min="6094" max="6094" width="10.42578125" style="9" customWidth="1"/>
    <col min="6095" max="6104" width="11" style="9" customWidth="1"/>
    <col min="6105" max="6105" width="9.140625" style="9" customWidth="1"/>
    <col min="6106" max="6106" width="6.85546875" style="9" customWidth="1"/>
    <col min="6107" max="6107" width="15" style="9" bestFit="1" customWidth="1"/>
    <col min="6108" max="6332" width="9.140625" style="9"/>
    <col min="6333" max="6333" width="4" style="9" customWidth="1"/>
    <col min="6334" max="6334" width="24.42578125" style="9" customWidth="1"/>
    <col min="6335" max="6335" width="19.85546875" style="9" customWidth="1"/>
    <col min="6336" max="6336" width="9.28515625" style="9" customWidth="1"/>
    <col min="6337" max="6337" width="10" style="9" customWidth="1"/>
    <col min="6338" max="6338" width="8.42578125" style="9" customWidth="1"/>
    <col min="6339" max="6339" width="12.28515625" style="9" customWidth="1"/>
    <col min="6340" max="6340" width="7.5703125" style="9" customWidth="1"/>
    <col min="6341" max="6341" width="7.85546875" style="9" customWidth="1"/>
    <col min="6342" max="6342" width="8.28515625" style="9" customWidth="1"/>
    <col min="6343" max="6343" width="9.140625" style="9"/>
    <col min="6344" max="6346" width="7.5703125" style="9" customWidth="1"/>
    <col min="6347" max="6347" width="10.28515625" style="9" customWidth="1"/>
    <col min="6348" max="6348" width="10.5703125" style="9" customWidth="1"/>
    <col min="6349" max="6349" width="11.140625" style="9" customWidth="1"/>
    <col min="6350" max="6350" width="10.42578125" style="9" customWidth="1"/>
    <col min="6351" max="6360" width="11" style="9" customWidth="1"/>
    <col min="6361" max="6361" width="9.140625" style="9" customWidth="1"/>
    <col min="6362" max="6362" width="6.85546875" style="9" customWidth="1"/>
    <col min="6363" max="6363" width="15" style="9" bestFit="1" customWidth="1"/>
    <col min="6364" max="6588" width="9.140625" style="9"/>
    <col min="6589" max="6589" width="4" style="9" customWidth="1"/>
    <col min="6590" max="6590" width="24.42578125" style="9" customWidth="1"/>
    <col min="6591" max="6591" width="19.85546875" style="9" customWidth="1"/>
    <col min="6592" max="6592" width="9.28515625" style="9" customWidth="1"/>
    <col min="6593" max="6593" width="10" style="9" customWidth="1"/>
    <col min="6594" max="6594" width="8.42578125" style="9" customWidth="1"/>
    <col min="6595" max="6595" width="12.28515625" style="9" customWidth="1"/>
    <col min="6596" max="6596" width="7.5703125" style="9" customWidth="1"/>
    <col min="6597" max="6597" width="7.85546875" style="9" customWidth="1"/>
    <col min="6598" max="6598" width="8.28515625" style="9" customWidth="1"/>
    <col min="6599" max="6599" width="9.140625" style="9"/>
    <col min="6600" max="6602" width="7.5703125" style="9" customWidth="1"/>
    <col min="6603" max="6603" width="10.28515625" style="9" customWidth="1"/>
    <col min="6604" max="6604" width="10.5703125" style="9" customWidth="1"/>
    <col min="6605" max="6605" width="11.140625" style="9" customWidth="1"/>
    <col min="6606" max="6606" width="10.42578125" style="9" customWidth="1"/>
    <col min="6607" max="6616" width="11" style="9" customWidth="1"/>
    <col min="6617" max="6617" width="9.140625" style="9" customWidth="1"/>
    <col min="6618" max="6618" width="6.85546875" style="9" customWidth="1"/>
    <col min="6619" max="6619" width="15" style="9" bestFit="1" customWidth="1"/>
    <col min="6620" max="6844" width="9.140625" style="9"/>
    <col min="6845" max="6845" width="4" style="9" customWidth="1"/>
    <col min="6846" max="6846" width="24.42578125" style="9" customWidth="1"/>
    <col min="6847" max="6847" width="19.85546875" style="9" customWidth="1"/>
    <col min="6848" max="6848" width="9.28515625" style="9" customWidth="1"/>
    <col min="6849" max="6849" width="10" style="9" customWidth="1"/>
    <col min="6850" max="6850" width="8.42578125" style="9" customWidth="1"/>
    <col min="6851" max="6851" width="12.28515625" style="9" customWidth="1"/>
    <col min="6852" max="6852" width="7.5703125" style="9" customWidth="1"/>
    <col min="6853" max="6853" width="7.85546875" style="9" customWidth="1"/>
    <col min="6854" max="6854" width="8.28515625" style="9" customWidth="1"/>
    <col min="6855" max="6855" width="9.140625" style="9"/>
    <col min="6856" max="6858" width="7.5703125" style="9" customWidth="1"/>
    <col min="6859" max="6859" width="10.28515625" style="9" customWidth="1"/>
    <col min="6860" max="6860" width="10.5703125" style="9" customWidth="1"/>
    <col min="6861" max="6861" width="11.140625" style="9" customWidth="1"/>
    <col min="6862" max="6862" width="10.42578125" style="9" customWidth="1"/>
    <col min="6863" max="6872" width="11" style="9" customWidth="1"/>
    <col min="6873" max="6873" width="9.140625" style="9" customWidth="1"/>
    <col min="6874" max="6874" width="6.85546875" style="9" customWidth="1"/>
    <col min="6875" max="6875" width="15" style="9" bestFit="1" customWidth="1"/>
    <col min="6876" max="7100" width="9.140625" style="9"/>
    <col min="7101" max="7101" width="4" style="9" customWidth="1"/>
    <col min="7102" max="7102" width="24.42578125" style="9" customWidth="1"/>
    <col min="7103" max="7103" width="19.85546875" style="9" customWidth="1"/>
    <col min="7104" max="7104" width="9.28515625" style="9" customWidth="1"/>
    <col min="7105" max="7105" width="10" style="9" customWidth="1"/>
    <col min="7106" max="7106" width="8.42578125" style="9" customWidth="1"/>
    <col min="7107" max="7107" width="12.28515625" style="9" customWidth="1"/>
    <col min="7108" max="7108" width="7.5703125" style="9" customWidth="1"/>
    <col min="7109" max="7109" width="7.85546875" style="9" customWidth="1"/>
    <col min="7110" max="7110" width="8.28515625" style="9" customWidth="1"/>
    <col min="7111" max="7111" width="9.140625" style="9"/>
    <col min="7112" max="7114" width="7.5703125" style="9" customWidth="1"/>
    <col min="7115" max="7115" width="10.28515625" style="9" customWidth="1"/>
    <col min="7116" max="7116" width="10.5703125" style="9" customWidth="1"/>
    <col min="7117" max="7117" width="11.140625" style="9" customWidth="1"/>
    <col min="7118" max="7118" width="10.42578125" style="9" customWidth="1"/>
    <col min="7119" max="7128" width="11" style="9" customWidth="1"/>
    <col min="7129" max="7129" width="9.140625" style="9" customWidth="1"/>
    <col min="7130" max="7130" width="6.85546875" style="9" customWidth="1"/>
    <col min="7131" max="7131" width="15" style="9" bestFit="1" customWidth="1"/>
    <col min="7132" max="7356" width="9.140625" style="9"/>
    <col min="7357" max="7357" width="4" style="9" customWidth="1"/>
    <col min="7358" max="7358" width="24.42578125" style="9" customWidth="1"/>
    <col min="7359" max="7359" width="19.85546875" style="9" customWidth="1"/>
    <col min="7360" max="7360" width="9.28515625" style="9" customWidth="1"/>
    <col min="7361" max="7361" width="10" style="9" customWidth="1"/>
    <col min="7362" max="7362" width="8.42578125" style="9" customWidth="1"/>
    <col min="7363" max="7363" width="12.28515625" style="9" customWidth="1"/>
    <col min="7364" max="7364" width="7.5703125" style="9" customWidth="1"/>
    <col min="7365" max="7365" width="7.85546875" style="9" customWidth="1"/>
    <col min="7366" max="7366" width="8.28515625" style="9" customWidth="1"/>
    <col min="7367" max="7367" width="9.140625" style="9"/>
    <col min="7368" max="7370" width="7.5703125" style="9" customWidth="1"/>
    <col min="7371" max="7371" width="10.28515625" style="9" customWidth="1"/>
    <col min="7372" max="7372" width="10.5703125" style="9" customWidth="1"/>
    <col min="7373" max="7373" width="11.140625" style="9" customWidth="1"/>
    <col min="7374" max="7374" width="10.42578125" style="9" customWidth="1"/>
    <col min="7375" max="7384" width="11" style="9" customWidth="1"/>
    <col min="7385" max="7385" width="9.140625" style="9" customWidth="1"/>
    <col min="7386" max="7386" width="6.85546875" style="9" customWidth="1"/>
    <col min="7387" max="7387" width="15" style="9" bestFit="1" customWidth="1"/>
    <col min="7388" max="7612" width="9.140625" style="9"/>
    <col min="7613" max="7613" width="4" style="9" customWidth="1"/>
    <col min="7614" max="7614" width="24.42578125" style="9" customWidth="1"/>
    <col min="7615" max="7615" width="19.85546875" style="9" customWidth="1"/>
    <col min="7616" max="7616" width="9.28515625" style="9" customWidth="1"/>
    <col min="7617" max="7617" width="10" style="9" customWidth="1"/>
    <col min="7618" max="7618" width="8.42578125" style="9" customWidth="1"/>
    <col min="7619" max="7619" width="12.28515625" style="9" customWidth="1"/>
    <col min="7620" max="7620" width="7.5703125" style="9" customWidth="1"/>
    <col min="7621" max="7621" width="7.85546875" style="9" customWidth="1"/>
    <col min="7622" max="7622" width="8.28515625" style="9" customWidth="1"/>
    <col min="7623" max="7623" width="9.140625" style="9"/>
    <col min="7624" max="7626" width="7.5703125" style="9" customWidth="1"/>
    <col min="7627" max="7627" width="10.28515625" style="9" customWidth="1"/>
    <col min="7628" max="7628" width="10.5703125" style="9" customWidth="1"/>
    <col min="7629" max="7629" width="11.140625" style="9" customWidth="1"/>
    <col min="7630" max="7630" width="10.42578125" style="9" customWidth="1"/>
    <col min="7631" max="7640" width="11" style="9" customWidth="1"/>
    <col min="7641" max="7641" width="9.140625" style="9" customWidth="1"/>
    <col min="7642" max="7642" width="6.85546875" style="9" customWidth="1"/>
    <col min="7643" max="7643" width="15" style="9" bestFit="1" customWidth="1"/>
    <col min="7644" max="7868" width="9.140625" style="9"/>
    <col min="7869" max="7869" width="4" style="9" customWidth="1"/>
    <col min="7870" max="7870" width="24.42578125" style="9" customWidth="1"/>
    <col min="7871" max="7871" width="19.85546875" style="9" customWidth="1"/>
    <col min="7872" max="7872" width="9.28515625" style="9" customWidth="1"/>
    <col min="7873" max="7873" width="10" style="9" customWidth="1"/>
    <col min="7874" max="7874" width="8.42578125" style="9" customWidth="1"/>
    <col min="7875" max="7875" width="12.28515625" style="9" customWidth="1"/>
    <col min="7876" max="7876" width="7.5703125" style="9" customWidth="1"/>
    <col min="7877" max="7877" width="7.85546875" style="9" customWidth="1"/>
    <col min="7878" max="7878" width="8.28515625" style="9" customWidth="1"/>
    <col min="7879" max="7879" width="9.140625" style="9"/>
    <col min="7880" max="7882" width="7.5703125" style="9" customWidth="1"/>
    <col min="7883" max="7883" width="10.28515625" style="9" customWidth="1"/>
    <col min="7884" max="7884" width="10.5703125" style="9" customWidth="1"/>
    <col min="7885" max="7885" width="11.140625" style="9" customWidth="1"/>
    <col min="7886" max="7886" width="10.42578125" style="9" customWidth="1"/>
    <col min="7887" max="7896" width="11" style="9" customWidth="1"/>
    <col min="7897" max="7897" width="9.140625" style="9" customWidth="1"/>
    <col min="7898" max="7898" width="6.85546875" style="9" customWidth="1"/>
    <col min="7899" max="7899" width="15" style="9" bestFit="1" customWidth="1"/>
    <col min="7900" max="8124" width="9.140625" style="9"/>
    <col min="8125" max="8125" width="4" style="9" customWidth="1"/>
    <col min="8126" max="8126" width="24.42578125" style="9" customWidth="1"/>
    <col min="8127" max="8127" width="19.85546875" style="9" customWidth="1"/>
    <col min="8128" max="8128" width="9.28515625" style="9" customWidth="1"/>
    <col min="8129" max="8129" width="10" style="9" customWidth="1"/>
    <col min="8130" max="8130" width="8.42578125" style="9" customWidth="1"/>
    <col min="8131" max="8131" width="12.28515625" style="9" customWidth="1"/>
    <col min="8132" max="8132" width="7.5703125" style="9" customWidth="1"/>
    <col min="8133" max="8133" width="7.85546875" style="9" customWidth="1"/>
    <col min="8134" max="8134" width="8.28515625" style="9" customWidth="1"/>
    <col min="8135" max="8135" width="9.140625" style="9"/>
    <col min="8136" max="8138" width="7.5703125" style="9" customWidth="1"/>
    <col min="8139" max="8139" width="10.28515625" style="9" customWidth="1"/>
    <col min="8140" max="8140" width="10.5703125" style="9" customWidth="1"/>
    <col min="8141" max="8141" width="11.140625" style="9" customWidth="1"/>
    <col min="8142" max="8142" width="10.42578125" style="9" customWidth="1"/>
    <col min="8143" max="8152" width="11" style="9" customWidth="1"/>
    <col min="8153" max="8153" width="9.140625" style="9" customWidth="1"/>
    <col min="8154" max="8154" width="6.85546875" style="9" customWidth="1"/>
    <col min="8155" max="8155" width="15" style="9" bestFit="1" customWidth="1"/>
    <col min="8156" max="8380" width="9.140625" style="9"/>
    <col min="8381" max="8381" width="4" style="9" customWidth="1"/>
    <col min="8382" max="8382" width="24.42578125" style="9" customWidth="1"/>
    <col min="8383" max="8383" width="19.85546875" style="9" customWidth="1"/>
    <col min="8384" max="8384" width="9.28515625" style="9" customWidth="1"/>
    <col min="8385" max="8385" width="10" style="9" customWidth="1"/>
    <col min="8386" max="8386" width="8.42578125" style="9" customWidth="1"/>
    <col min="8387" max="8387" width="12.28515625" style="9" customWidth="1"/>
    <col min="8388" max="8388" width="7.5703125" style="9" customWidth="1"/>
    <col min="8389" max="8389" width="7.85546875" style="9" customWidth="1"/>
    <col min="8390" max="8390" width="8.28515625" style="9" customWidth="1"/>
    <col min="8391" max="8391" width="9.140625" style="9"/>
    <col min="8392" max="8394" width="7.5703125" style="9" customWidth="1"/>
    <col min="8395" max="8395" width="10.28515625" style="9" customWidth="1"/>
    <col min="8396" max="8396" width="10.5703125" style="9" customWidth="1"/>
    <col min="8397" max="8397" width="11.140625" style="9" customWidth="1"/>
    <col min="8398" max="8398" width="10.42578125" style="9" customWidth="1"/>
    <col min="8399" max="8408" width="11" style="9" customWidth="1"/>
    <col min="8409" max="8409" width="9.140625" style="9" customWidth="1"/>
    <col min="8410" max="8410" width="6.85546875" style="9" customWidth="1"/>
    <col min="8411" max="8411" width="15" style="9" bestFit="1" customWidth="1"/>
    <col min="8412" max="8636" width="9.140625" style="9"/>
    <col min="8637" max="8637" width="4" style="9" customWidth="1"/>
    <col min="8638" max="8638" width="24.42578125" style="9" customWidth="1"/>
    <col min="8639" max="8639" width="19.85546875" style="9" customWidth="1"/>
    <col min="8640" max="8640" width="9.28515625" style="9" customWidth="1"/>
    <col min="8641" max="8641" width="10" style="9" customWidth="1"/>
    <col min="8642" max="8642" width="8.42578125" style="9" customWidth="1"/>
    <col min="8643" max="8643" width="12.28515625" style="9" customWidth="1"/>
    <col min="8644" max="8644" width="7.5703125" style="9" customWidth="1"/>
    <col min="8645" max="8645" width="7.85546875" style="9" customWidth="1"/>
    <col min="8646" max="8646" width="8.28515625" style="9" customWidth="1"/>
    <col min="8647" max="8647" width="9.140625" style="9"/>
    <col min="8648" max="8650" width="7.5703125" style="9" customWidth="1"/>
    <col min="8651" max="8651" width="10.28515625" style="9" customWidth="1"/>
    <col min="8652" max="8652" width="10.5703125" style="9" customWidth="1"/>
    <col min="8653" max="8653" width="11.140625" style="9" customWidth="1"/>
    <col min="8654" max="8654" width="10.42578125" style="9" customWidth="1"/>
    <col min="8655" max="8664" width="11" style="9" customWidth="1"/>
    <col min="8665" max="8665" width="9.140625" style="9" customWidth="1"/>
    <col min="8666" max="8666" width="6.85546875" style="9" customWidth="1"/>
    <col min="8667" max="8667" width="15" style="9" bestFit="1" customWidth="1"/>
    <col min="8668" max="8892" width="9.140625" style="9"/>
    <col min="8893" max="8893" width="4" style="9" customWidth="1"/>
    <col min="8894" max="8894" width="24.42578125" style="9" customWidth="1"/>
    <col min="8895" max="8895" width="19.85546875" style="9" customWidth="1"/>
    <col min="8896" max="8896" width="9.28515625" style="9" customWidth="1"/>
    <col min="8897" max="8897" width="10" style="9" customWidth="1"/>
    <col min="8898" max="8898" width="8.42578125" style="9" customWidth="1"/>
    <col min="8899" max="8899" width="12.28515625" style="9" customWidth="1"/>
    <col min="8900" max="8900" width="7.5703125" style="9" customWidth="1"/>
    <col min="8901" max="8901" width="7.85546875" style="9" customWidth="1"/>
    <col min="8902" max="8902" width="8.28515625" style="9" customWidth="1"/>
    <col min="8903" max="8903" width="9.140625" style="9"/>
    <col min="8904" max="8906" width="7.5703125" style="9" customWidth="1"/>
    <col min="8907" max="8907" width="10.28515625" style="9" customWidth="1"/>
    <col min="8908" max="8908" width="10.5703125" style="9" customWidth="1"/>
    <col min="8909" max="8909" width="11.140625" style="9" customWidth="1"/>
    <col min="8910" max="8910" width="10.42578125" style="9" customWidth="1"/>
    <col min="8911" max="8920" width="11" style="9" customWidth="1"/>
    <col min="8921" max="8921" width="9.140625" style="9" customWidth="1"/>
    <col min="8922" max="8922" width="6.85546875" style="9" customWidth="1"/>
    <col min="8923" max="8923" width="15" style="9" bestFit="1" customWidth="1"/>
    <col min="8924" max="9148" width="9.140625" style="9"/>
    <col min="9149" max="9149" width="4" style="9" customWidth="1"/>
    <col min="9150" max="9150" width="24.42578125" style="9" customWidth="1"/>
    <col min="9151" max="9151" width="19.85546875" style="9" customWidth="1"/>
    <col min="9152" max="9152" width="9.28515625" style="9" customWidth="1"/>
    <col min="9153" max="9153" width="10" style="9" customWidth="1"/>
    <col min="9154" max="9154" width="8.42578125" style="9" customWidth="1"/>
    <col min="9155" max="9155" width="12.28515625" style="9" customWidth="1"/>
    <col min="9156" max="9156" width="7.5703125" style="9" customWidth="1"/>
    <col min="9157" max="9157" width="7.85546875" style="9" customWidth="1"/>
    <col min="9158" max="9158" width="8.28515625" style="9" customWidth="1"/>
    <col min="9159" max="9159" width="9.140625" style="9"/>
    <col min="9160" max="9162" width="7.5703125" style="9" customWidth="1"/>
    <col min="9163" max="9163" width="10.28515625" style="9" customWidth="1"/>
    <col min="9164" max="9164" width="10.5703125" style="9" customWidth="1"/>
    <col min="9165" max="9165" width="11.140625" style="9" customWidth="1"/>
    <col min="9166" max="9166" width="10.42578125" style="9" customWidth="1"/>
    <col min="9167" max="9176" width="11" style="9" customWidth="1"/>
    <col min="9177" max="9177" width="9.140625" style="9" customWidth="1"/>
    <col min="9178" max="9178" width="6.85546875" style="9" customWidth="1"/>
    <col min="9179" max="9179" width="15" style="9" bestFit="1" customWidth="1"/>
    <col min="9180" max="9404" width="9.140625" style="9"/>
    <col min="9405" max="9405" width="4" style="9" customWidth="1"/>
    <col min="9406" max="9406" width="24.42578125" style="9" customWidth="1"/>
    <col min="9407" max="9407" width="19.85546875" style="9" customWidth="1"/>
    <col min="9408" max="9408" width="9.28515625" style="9" customWidth="1"/>
    <col min="9409" max="9409" width="10" style="9" customWidth="1"/>
    <col min="9410" max="9410" width="8.42578125" style="9" customWidth="1"/>
    <col min="9411" max="9411" width="12.28515625" style="9" customWidth="1"/>
    <col min="9412" max="9412" width="7.5703125" style="9" customWidth="1"/>
    <col min="9413" max="9413" width="7.85546875" style="9" customWidth="1"/>
    <col min="9414" max="9414" width="8.28515625" style="9" customWidth="1"/>
    <col min="9415" max="9415" width="9.140625" style="9"/>
    <col min="9416" max="9418" width="7.5703125" style="9" customWidth="1"/>
    <col min="9419" max="9419" width="10.28515625" style="9" customWidth="1"/>
    <col min="9420" max="9420" width="10.5703125" style="9" customWidth="1"/>
    <col min="9421" max="9421" width="11.140625" style="9" customWidth="1"/>
    <col min="9422" max="9422" width="10.42578125" style="9" customWidth="1"/>
    <col min="9423" max="9432" width="11" style="9" customWidth="1"/>
    <col min="9433" max="9433" width="9.140625" style="9" customWidth="1"/>
    <col min="9434" max="9434" width="6.85546875" style="9" customWidth="1"/>
    <col min="9435" max="9435" width="15" style="9" bestFit="1" customWidth="1"/>
    <col min="9436" max="9660" width="9.140625" style="9"/>
    <col min="9661" max="9661" width="4" style="9" customWidth="1"/>
    <col min="9662" max="9662" width="24.42578125" style="9" customWidth="1"/>
    <col min="9663" max="9663" width="19.85546875" style="9" customWidth="1"/>
    <col min="9664" max="9664" width="9.28515625" style="9" customWidth="1"/>
    <col min="9665" max="9665" width="10" style="9" customWidth="1"/>
    <col min="9666" max="9666" width="8.42578125" style="9" customWidth="1"/>
    <col min="9667" max="9667" width="12.28515625" style="9" customWidth="1"/>
    <col min="9668" max="9668" width="7.5703125" style="9" customWidth="1"/>
    <col min="9669" max="9669" width="7.85546875" style="9" customWidth="1"/>
    <col min="9670" max="9670" width="8.28515625" style="9" customWidth="1"/>
    <col min="9671" max="9671" width="9.140625" style="9"/>
    <col min="9672" max="9674" width="7.5703125" style="9" customWidth="1"/>
    <col min="9675" max="9675" width="10.28515625" style="9" customWidth="1"/>
    <col min="9676" max="9676" width="10.5703125" style="9" customWidth="1"/>
    <col min="9677" max="9677" width="11.140625" style="9" customWidth="1"/>
    <col min="9678" max="9678" width="10.42578125" style="9" customWidth="1"/>
    <col min="9679" max="9688" width="11" style="9" customWidth="1"/>
    <col min="9689" max="9689" width="9.140625" style="9" customWidth="1"/>
    <col min="9690" max="9690" width="6.85546875" style="9" customWidth="1"/>
    <col min="9691" max="9691" width="15" style="9" bestFit="1" customWidth="1"/>
    <col min="9692" max="9916" width="9.140625" style="9"/>
    <col min="9917" max="9917" width="4" style="9" customWidth="1"/>
    <col min="9918" max="9918" width="24.42578125" style="9" customWidth="1"/>
    <col min="9919" max="9919" width="19.85546875" style="9" customWidth="1"/>
    <col min="9920" max="9920" width="9.28515625" style="9" customWidth="1"/>
    <col min="9921" max="9921" width="10" style="9" customWidth="1"/>
    <col min="9922" max="9922" width="8.42578125" style="9" customWidth="1"/>
    <col min="9923" max="9923" width="12.28515625" style="9" customWidth="1"/>
    <col min="9924" max="9924" width="7.5703125" style="9" customWidth="1"/>
    <col min="9925" max="9925" width="7.85546875" style="9" customWidth="1"/>
    <col min="9926" max="9926" width="8.28515625" style="9" customWidth="1"/>
    <col min="9927" max="9927" width="9.140625" style="9"/>
    <col min="9928" max="9930" width="7.5703125" style="9" customWidth="1"/>
    <col min="9931" max="9931" width="10.28515625" style="9" customWidth="1"/>
    <col min="9932" max="9932" width="10.5703125" style="9" customWidth="1"/>
    <col min="9933" max="9933" width="11.140625" style="9" customWidth="1"/>
    <col min="9934" max="9934" width="10.42578125" style="9" customWidth="1"/>
    <col min="9935" max="9944" width="11" style="9" customWidth="1"/>
    <col min="9945" max="9945" width="9.140625" style="9" customWidth="1"/>
    <col min="9946" max="9946" width="6.85546875" style="9" customWidth="1"/>
    <col min="9947" max="9947" width="15" style="9" bestFit="1" customWidth="1"/>
    <col min="9948" max="10172" width="9.140625" style="9"/>
    <col min="10173" max="10173" width="4" style="9" customWidth="1"/>
    <col min="10174" max="10174" width="24.42578125" style="9" customWidth="1"/>
    <col min="10175" max="10175" width="19.85546875" style="9" customWidth="1"/>
    <col min="10176" max="10176" width="9.28515625" style="9" customWidth="1"/>
    <col min="10177" max="10177" width="10" style="9" customWidth="1"/>
    <col min="10178" max="10178" width="8.42578125" style="9" customWidth="1"/>
    <col min="10179" max="10179" width="12.28515625" style="9" customWidth="1"/>
    <col min="10180" max="10180" width="7.5703125" style="9" customWidth="1"/>
    <col min="10181" max="10181" width="7.85546875" style="9" customWidth="1"/>
    <col min="10182" max="10182" width="8.28515625" style="9" customWidth="1"/>
    <col min="10183" max="10183" width="9.140625" style="9"/>
    <col min="10184" max="10186" width="7.5703125" style="9" customWidth="1"/>
    <col min="10187" max="10187" width="10.28515625" style="9" customWidth="1"/>
    <col min="10188" max="10188" width="10.5703125" style="9" customWidth="1"/>
    <col min="10189" max="10189" width="11.140625" style="9" customWidth="1"/>
    <col min="10190" max="10190" width="10.42578125" style="9" customWidth="1"/>
    <col min="10191" max="10200" width="11" style="9" customWidth="1"/>
    <col min="10201" max="10201" width="9.140625" style="9" customWidth="1"/>
    <col min="10202" max="10202" width="6.85546875" style="9" customWidth="1"/>
    <col min="10203" max="10203" width="15" style="9" bestFit="1" customWidth="1"/>
    <col min="10204" max="10428" width="9.140625" style="9"/>
    <col min="10429" max="10429" width="4" style="9" customWidth="1"/>
    <col min="10430" max="10430" width="24.42578125" style="9" customWidth="1"/>
    <col min="10431" max="10431" width="19.85546875" style="9" customWidth="1"/>
    <col min="10432" max="10432" width="9.28515625" style="9" customWidth="1"/>
    <col min="10433" max="10433" width="10" style="9" customWidth="1"/>
    <col min="10434" max="10434" width="8.42578125" style="9" customWidth="1"/>
    <col min="10435" max="10435" width="12.28515625" style="9" customWidth="1"/>
    <col min="10436" max="10436" width="7.5703125" style="9" customWidth="1"/>
    <col min="10437" max="10437" width="7.85546875" style="9" customWidth="1"/>
    <col min="10438" max="10438" width="8.28515625" style="9" customWidth="1"/>
    <col min="10439" max="10439" width="9.140625" style="9"/>
    <col min="10440" max="10442" width="7.5703125" style="9" customWidth="1"/>
    <col min="10443" max="10443" width="10.28515625" style="9" customWidth="1"/>
    <col min="10444" max="10444" width="10.5703125" style="9" customWidth="1"/>
    <col min="10445" max="10445" width="11.140625" style="9" customWidth="1"/>
    <col min="10446" max="10446" width="10.42578125" style="9" customWidth="1"/>
    <col min="10447" max="10456" width="11" style="9" customWidth="1"/>
    <col min="10457" max="10457" width="9.140625" style="9" customWidth="1"/>
    <col min="10458" max="10458" width="6.85546875" style="9" customWidth="1"/>
    <col min="10459" max="10459" width="15" style="9" bestFit="1" customWidth="1"/>
    <col min="10460" max="10684" width="9.140625" style="9"/>
    <col min="10685" max="10685" width="4" style="9" customWidth="1"/>
    <col min="10686" max="10686" width="24.42578125" style="9" customWidth="1"/>
    <col min="10687" max="10687" width="19.85546875" style="9" customWidth="1"/>
    <col min="10688" max="10688" width="9.28515625" style="9" customWidth="1"/>
    <col min="10689" max="10689" width="10" style="9" customWidth="1"/>
    <col min="10690" max="10690" width="8.42578125" style="9" customWidth="1"/>
    <col min="10691" max="10691" width="12.28515625" style="9" customWidth="1"/>
    <col min="10692" max="10692" width="7.5703125" style="9" customWidth="1"/>
    <col min="10693" max="10693" width="7.85546875" style="9" customWidth="1"/>
    <col min="10694" max="10694" width="8.28515625" style="9" customWidth="1"/>
    <col min="10695" max="10695" width="9.140625" style="9"/>
    <col min="10696" max="10698" width="7.5703125" style="9" customWidth="1"/>
    <col min="10699" max="10699" width="10.28515625" style="9" customWidth="1"/>
    <col min="10700" max="10700" width="10.5703125" style="9" customWidth="1"/>
    <col min="10701" max="10701" width="11.140625" style="9" customWidth="1"/>
    <col min="10702" max="10702" width="10.42578125" style="9" customWidth="1"/>
    <col min="10703" max="10712" width="11" style="9" customWidth="1"/>
    <col min="10713" max="10713" width="9.140625" style="9" customWidth="1"/>
    <col min="10714" max="10714" width="6.85546875" style="9" customWidth="1"/>
    <col min="10715" max="10715" width="15" style="9" bestFit="1" customWidth="1"/>
    <col min="10716" max="10940" width="9.140625" style="9"/>
    <col min="10941" max="10941" width="4" style="9" customWidth="1"/>
    <col min="10942" max="10942" width="24.42578125" style="9" customWidth="1"/>
    <col min="10943" max="10943" width="19.85546875" style="9" customWidth="1"/>
    <col min="10944" max="10944" width="9.28515625" style="9" customWidth="1"/>
    <col min="10945" max="10945" width="10" style="9" customWidth="1"/>
    <col min="10946" max="10946" width="8.42578125" style="9" customWidth="1"/>
    <col min="10947" max="10947" width="12.28515625" style="9" customWidth="1"/>
    <col min="10948" max="10948" width="7.5703125" style="9" customWidth="1"/>
    <col min="10949" max="10949" width="7.85546875" style="9" customWidth="1"/>
    <col min="10950" max="10950" width="8.28515625" style="9" customWidth="1"/>
    <col min="10951" max="10951" width="9.140625" style="9"/>
    <col min="10952" max="10954" width="7.5703125" style="9" customWidth="1"/>
    <col min="10955" max="10955" width="10.28515625" style="9" customWidth="1"/>
    <col min="10956" max="10956" width="10.5703125" style="9" customWidth="1"/>
    <col min="10957" max="10957" width="11.140625" style="9" customWidth="1"/>
    <col min="10958" max="10958" width="10.42578125" style="9" customWidth="1"/>
    <col min="10959" max="10968" width="11" style="9" customWidth="1"/>
    <col min="10969" max="10969" width="9.140625" style="9" customWidth="1"/>
    <col min="10970" max="10970" width="6.85546875" style="9" customWidth="1"/>
    <col min="10971" max="10971" width="15" style="9" bestFit="1" customWidth="1"/>
    <col min="10972" max="11196" width="9.140625" style="9"/>
    <col min="11197" max="11197" width="4" style="9" customWidth="1"/>
    <col min="11198" max="11198" width="24.42578125" style="9" customWidth="1"/>
    <col min="11199" max="11199" width="19.85546875" style="9" customWidth="1"/>
    <col min="11200" max="11200" width="9.28515625" style="9" customWidth="1"/>
    <col min="11201" max="11201" width="10" style="9" customWidth="1"/>
    <col min="11202" max="11202" width="8.42578125" style="9" customWidth="1"/>
    <col min="11203" max="11203" width="12.28515625" style="9" customWidth="1"/>
    <col min="11204" max="11204" width="7.5703125" style="9" customWidth="1"/>
    <col min="11205" max="11205" width="7.85546875" style="9" customWidth="1"/>
    <col min="11206" max="11206" width="8.28515625" style="9" customWidth="1"/>
    <col min="11207" max="11207" width="9.140625" style="9"/>
    <col min="11208" max="11210" width="7.5703125" style="9" customWidth="1"/>
    <col min="11211" max="11211" width="10.28515625" style="9" customWidth="1"/>
    <col min="11212" max="11212" width="10.5703125" style="9" customWidth="1"/>
    <col min="11213" max="11213" width="11.140625" style="9" customWidth="1"/>
    <col min="11214" max="11214" width="10.42578125" style="9" customWidth="1"/>
    <col min="11215" max="11224" width="11" style="9" customWidth="1"/>
    <col min="11225" max="11225" width="9.140625" style="9" customWidth="1"/>
    <col min="11226" max="11226" width="6.85546875" style="9" customWidth="1"/>
    <col min="11227" max="11227" width="15" style="9" bestFit="1" customWidth="1"/>
    <col min="11228" max="11452" width="9.140625" style="9"/>
    <col min="11453" max="11453" width="4" style="9" customWidth="1"/>
    <col min="11454" max="11454" width="24.42578125" style="9" customWidth="1"/>
    <col min="11455" max="11455" width="19.85546875" style="9" customWidth="1"/>
    <col min="11456" max="11456" width="9.28515625" style="9" customWidth="1"/>
    <col min="11457" max="11457" width="10" style="9" customWidth="1"/>
    <col min="11458" max="11458" width="8.42578125" style="9" customWidth="1"/>
    <col min="11459" max="11459" width="12.28515625" style="9" customWidth="1"/>
    <col min="11460" max="11460" width="7.5703125" style="9" customWidth="1"/>
    <col min="11461" max="11461" width="7.85546875" style="9" customWidth="1"/>
    <col min="11462" max="11462" width="8.28515625" style="9" customWidth="1"/>
    <col min="11463" max="11463" width="9.140625" style="9"/>
    <col min="11464" max="11466" width="7.5703125" style="9" customWidth="1"/>
    <col min="11467" max="11467" width="10.28515625" style="9" customWidth="1"/>
    <col min="11468" max="11468" width="10.5703125" style="9" customWidth="1"/>
    <col min="11469" max="11469" width="11.140625" style="9" customWidth="1"/>
    <col min="11470" max="11470" width="10.42578125" style="9" customWidth="1"/>
    <col min="11471" max="11480" width="11" style="9" customWidth="1"/>
    <col min="11481" max="11481" width="9.140625" style="9" customWidth="1"/>
    <col min="11482" max="11482" width="6.85546875" style="9" customWidth="1"/>
    <col min="11483" max="11483" width="15" style="9" bestFit="1" customWidth="1"/>
    <col min="11484" max="11708" width="9.140625" style="9"/>
    <col min="11709" max="11709" width="4" style="9" customWidth="1"/>
    <col min="11710" max="11710" width="24.42578125" style="9" customWidth="1"/>
    <col min="11711" max="11711" width="19.85546875" style="9" customWidth="1"/>
    <col min="11712" max="11712" width="9.28515625" style="9" customWidth="1"/>
    <col min="11713" max="11713" width="10" style="9" customWidth="1"/>
    <col min="11714" max="11714" width="8.42578125" style="9" customWidth="1"/>
    <col min="11715" max="11715" width="12.28515625" style="9" customWidth="1"/>
    <col min="11716" max="11716" width="7.5703125" style="9" customWidth="1"/>
    <col min="11717" max="11717" width="7.85546875" style="9" customWidth="1"/>
    <col min="11718" max="11718" width="8.28515625" style="9" customWidth="1"/>
    <col min="11719" max="11719" width="9.140625" style="9"/>
    <col min="11720" max="11722" width="7.5703125" style="9" customWidth="1"/>
    <col min="11723" max="11723" width="10.28515625" style="9" customWidth="1"/>
    <col min="11724" max="11724" width="10.5703125" style="9" customWidth="1"/>
    <col min="11725" max="11725" width="11.140625" style="9" customWidth="1"/>
    <col min="11726" max="11726" width="10.42578125" style="9" customWidth="1"/>
    <col min="11727" max="11736" width="11" style="9" customWidth="1"/>
    <col min="11737" max="11737" width="9.140625" style="9" customWidth="1"/>
    <col min="11738" max="11738" width="6.85546875" style="9" customWidth="1"/>
    <col min="11739" max="11739" width="15" style="9" bestFit="1" customWidth="1"/>
    <col min="11740" max="11964" width="9.140625" style="9"/>
    <col min="11965" max="11965" width="4" style="9" customWidth="1"/>
    <col min="11966" max="11966" width="24.42578125" style="9" customWidth="1"/>
    <col min="11967" max="11967" width="19.85546875" style="9" customWidth="1"/>
    <col min="11968" max="11968" width="9.28515625" style="9" customWidth="1"/>
    <col min="11969" max="11969" width="10" style="9" customWidth="1"/>
    <col min="11970" max="11970" width="8.42578125" style="9" customWidth="1"/>
    <col min="11971" max="11971" width="12.28515625" style="9" customWidth="1"/>
    <col min="11972" max="11972" width="7.5703125" style="9" customWidth="1"/>
    <col min="11973" max="11973" width="7.85546875" style="9" customWidth="1"/>
    <col min="11974" max="11974" width="8.28515625" style="9" customWidth="1"/>
    <col min="11975" max="11975" width="9.140625" style="9"/>
    <col min="11976" max="11978" width="7.5703125" style="9" customWidth="1"/>
    <col min="11979" max="11979" width="10.28515625" style="9" customWidth="1"/>
    <col min="11980" max="11980" width="10.5703125" style="9" customWidth="1"/>
    <col min="11981" max="11981" width="11.140625" style="9" customWidth="1"/>
    <col min="11982" max="11982" width="10.42578125" style="9" customWidth="1"/>
    <col min="11983" max="11992" width="11" style="9" customWidth="1"/>
    <col min="11993" max="11993" width="9.140625" style="9" customWidth="1"/>
    <col min="11994" max="11994" width="6.85546875" style="9" customWidth="1"/>
    <col min="11995" max="11995" width="15" style="9" bestFit="1" customWidth="1"/>
    <col min="11996" max="12220" width="9.140625" style="9"/>
    <col min="12221" max="12221" width="4" style="9" customWidth="1"/>
    <col min="12222" max="12222" width="24.42578125" style="9" customWidth="1"/>
    <col min="12223" max="12223" width="19.85546875" style="9" customWidth="1"/>
    <col min="12224" max="12224" width="9.28515625" style="9" customWidth="1"/>
    <col min="12225" max="12225" width="10" style="9" customWidth="1"/>
    <col min="12226" max="12226" width="8.42578125" style="9" customWidth="1"/>
    <col min="12227" max="12227" width="12.28515625" style="9" customWidth="1"/>
    <col min="12228" max="12228" width="7.5703125" style="9" customWidth="1"/>
    <col min="12229" max="12229" width="7.85546875" style="9" customWidth="1"/>
    <col min="12230" max="12230" width="8.28515625" style="9" customWidth="1"/>
    <col min="12231" max="12231" width="9.140625" style="9"/>
    <col min="12232" max="12234" width="7.5703125" style="9" customWidth="1"/>
    <col min="12235" max="12235" width="10.28515625" style="9" customWidth="1"/>
    <col min="12236" max="12236" width="10.5703125" style="9" customWidth="1"/>
    <col min="12237" max="12237" width="11.140625" style="9" customWidth="1"/>
    <col min="12238" max="12238" width="10.42578125" style="9" customWidth="1"/>
    <col min="12239" max="12248" width="11" style="9" customWidth="1"/>
    <col min="12249" max="12249" width="9.140625" style="9" customWidth="1"/>
    <col min="12250" max="12250" width="6.85546875" style="9" customWidth="1"/>
    <col min="12251" max="12251" width="15" style="9" bestFit="1" customWidth="1"/>
    <col min="12252" max="12476" width="9.140625" style="9"/>
    <col min="12477" max="12477" width="4" style="9" customWidth="1"/>
    <col min="12478" max="12478" width="24.42578125" style="9" customWidth="1"/>
    <col min="12479" max="12479" width="19.85546875" style="9" customWidth="1"/>
    <col min="12480" max="12480" width="9.28515625" style="9" customWidth="1"/>
    <col min="12481" max="12481" width="10" style="9" customWidth="1"/>
    <col min="12482" max="12482" width="8.42578125" style="9" customWidth="1"/>
    <col min="12483" max="12483" width="12.28515625" style="9" customWidth="1"/>
    <col min="12484" max="12484" width="7.5703125" style="9" customWidth="1"/>
    <col min="12485" max="12485" width="7.85546875" style="9" customWidth="1"/>
    <col min="12486" max="12486" width="8.28515625" style="9" customWidth="1"/>
    <col min="12487" max="12487" width="9.140625" style="9"/>
    <col min="12488" max="12490" width="7.5703125" style="9" customWidth="1"/>
    <col min="12491" max="12491" width="10.28515625" style="9" customWidth="1"/>
    <col min="12492" max="12492" width="10.5703125" style="9" customWidth="1"/>
    <col min="12493" max="12493" width="11.140625" style="9" customWidth="1"/>
    <col min="12494" max="12494" width="10.42578125" style="9" customWidth="1"/>
    <col min="12495" max="12504" width="11" style="9" customWidth="1"/>
    <col min="12505" max="12505" width="9.140625" style="9" customWidth="1"/>
    <col min="12506" max="12506" width="6.85546875" style="9" customWidth="1"/>
    <col min="12507" max="12507" width="15" style="9" bestFit="1" customWidth="1"/>
    <col min="12508" max="12732" width="9.140625" style="9"/>
    <col min="12733" max="12733" width="4" style="9" customWidth="1"/>
    <col min="12734" max="12734" width="24.42578125" style="9" customWidth="1"/>
    <col min="12735" max="12735" width="19.85546875" style="9" customWidth="1"/>
    <col min="12736" max="12736" width="9.28515625" style="9" customWidth="1"/>
    <col min="12737" max="12737" width="10" style="9" customWidth="1"/>
    <col min="12738" max="12738" width="8.42578125" style="9" customWidth="1"/>
    <col min="12739" max="12739" width="12.28515625" style="9" customWidth="1"/>
    <col min="12740" max="12740" width="7.5703125" style="9" customWidth="1"/>
    <col min="12741" max="12741" width="7.85546875" style="9" customWidth="1"/>
    <col min="12742" max="12742" width="8.28515625" style="9" customWidth="1"/>
    <col min="12743" max="12743" width="9.140625" style="9"/>
    <col min="12744" max="12746" width="7.5703125" style="9" customWidth="1"/>
    <col min="12747" max="12747" width="10.28515625" style="9" customWidth="1"/>
    <col min="12748" max="12748" width="10.5703125" style="9" customWidth="1"/>
    <col min="12749" max="12749" width="11.140625" style="9" customWidth="1"/>
    <col min="12750" max="12750" width="10.42578125" style="9" customWidth="1"/>
    <col min="12751" max="12760" width="11" style="9" customWidth="1"/>
    <col min="12761" max="12761" width="9.140625" style="9" customWidth="1"/>
    <col min="12762" max="12762" width="6.85546875" style="9" customWidth="1"/>
    <col min="12763" max="12763" width="15" style="9" bestFit="1" customWidth="1"/>
    <col min="12764" max="12988" width="9.140625" style="9"/>
    <col min="12989" max="12989" width="4" style="9" customWidth="1"/>
    <col min="12990" max="12990" width="24.42578125" style="9" customWidth="1"/>
    <col min="12991" max="12991" width="19.85546875" style="9" customWidth="1"/>
    <col min="12992" max="12992" width="9.28515625" style="9" customWidth="1"/>
    <col min="12993" max="12993" width="10" style="9" customWidth="1"/>
    <col min="12994" max="12994" width="8.42578125" style="9" customWidth="1"/>
    <col min="12995" max="12995" width="12.28515625" style="9" customWidth="1"/>
    <col min="12996" max="12996" width="7.5703125" style="9" customWidth="1"/>
    <col min="12997" max="12997" width="7.85546875" style="9" customWidth="1"/>
    <col min="12998" max="12998" width="8.28515625" style="9" customWidth="1"/>
    <col min="12999" max="12999" width="9.140625" style="9"/>
    <col min="13000" max="13002" width="7.5703125" style="9" customWidth="1"/>
    <col min="13003" max="13003" width="10.28515625" style="9" customWidth="1"/>
    <col min="13004" max="13004" width="10.5703125" style="9" customWidth="1"/>
    <col min="13005" max="13005" width="11.140625" style="9" customWidth="1"/>
    <col min="13006" max="13006" width="10.42578125" style="9" customWidth="1"/>
    <col min="13007" max="13016" width="11" style="9" customWidth="1"/>
    <col min="13017" max="13017" width="9.140625" style="9" customWidth="1"/>
    <col min="13018" max="13018" width="6.85546875" style="9" customWidth="1"/>
    <col min="13019" max="13019" width="15" style="9" bestFit="1" customWidth="1"/>
    <col min="13020" max="13244" width="9.140625" style="9"/>
    <col min="13245" max="13245" width="4" style="9" customWidth="1"/>
    <col min="13246" max="13246" width="24.42578125" style="9" customWidth="1"/>
    <col min="13247" max="13247" width="19.85546875" style="9" customWidth="1"/>
    <col min="13248" max="13248" width="9.28515625" style="9" customWidth="1"/>
    <col min="13249" max="13249" width="10" style="9" customWidth="1"/>
    <col min="13250" max="13250" width="8.42578125" style="9" customWidth="1"/>
    <col min="13251" max="13251" width="12.28515625" style="9" customWidth="1"/>
    <col min="13252" max="13252" width="7.5703125" style="9" customWidth="1"/>
    <col min="13253" max="13253" width="7.85546875" style="9" customWidth="1"/>
    <col min="13254" max="13254" width="8.28515625" style="9" customWidth="1"/>
    <col min="13255" max="13255" width="9.140625" style="9"/>
    <col min="13256" max="13258" width="7.5703125" style="9" customWidth="1"/>
    <col min="13259" max="13259" width="10.28515625" style="9" customWidth="1"/>
    <col min="13260" max="13260" width="10.5703125" style="9" customWidth="1"/>
    <col min="13261" max="13261" width="11.140625" style="9" customWidth="1"/>
    <col min="13262" max="13262" width="10.42578125" style="9" customWidth="1"/>
    <col min="13263" max="13272" width="11" style="9" customWidth="1"/>
    <col min="13273" max="13273" width="9.140625" style="9" customWidth="1"/>
    <col min="13274" max="13274" width="6.85546875" style="9" customWidth="1"/>
    <col min="13275" max="13275" width="15" style="9" bestFit="1" customWidth="1"/>
    <col min="13276" max="13500" width="9.140625" style="9"/>
    <col min="13501" max="13501" width="4" style="9" customWidth="1"/>
    <col min="13502" max="13502" width="24.42578125" style="9" customWidth="1"/>
    <col min="13503" max="13503" width="19.85546875" style="9" customWidth="1"/>
    <col min="13504" max="13504" width="9.28515625" style="9" customWidth="1"/>
    <col min="13505" max="13505" width="10" style="9" customWidth="1"/>
    <col min="13506" max="13506" width="8.42578125" style="9" customWidth="1"/>
    <col min="13507" max="13507" width="12.28515625" style="9" customWidth="1"/>
    <col min="13508" max="13508" width="7.5703125" style="9" customWidth="1"/>
    <col min="13509" max="13509" width="7.85546875" style="9" customWidth="1"/>
    <col min="13510" max="13510" width="8.28515625" style="9" customWidth="1"/>
    <col min="13511" max="13511" width="9.140625" style="9"/>
    <col min="13512" max="13514" width="7.5703125" style="9" customWidth="1"/>
    <col min="13515" max="13515" width="10.28515625" style="9" customWidth="1"/>
    <col min="13516" max="13516" width="10.5703125" style="9" customWidth="1"/>
    <col min="13517" max="13517" width="11.140625" style="9" customWidth="1"/>
    <col min="13518" max="13518" width="10.42578125" style="9" customWidth="1"/>
    <col min="13519" max="13528" width="11" style="9" customWidth="1"/>
    <col min="13529" max="13529" width="9.140625" style="9" customWidth="1"/>
    <col min="13530" max="13530" width="6.85546875" style="9" customWidth="1"/>
    <col min="13531" max="13531" width="15" style="9" bestFit="1" customWidth="1"/>
    <col min="13532" max="13756" width="9.140625" style="9"/>
    <col min="13757" max="13757" width="4" style="9" customWidth="1"/>
    <col min="13758" max="13758" width="24.42578125" style="9" customWidth="1"/>
    <col min="13759" max="13759" width="19.85546875" style="9" customWidth="1"/>
    <col min="13760" max="13760" width="9.28515625" style="9" customWidth="1"/>
    <col min="13761" max="13761" width="10" style="9" customWidth="1"/>
    <col min="13762" max="13762" width="8.42578125" style="9" customWidth="1"/>
    <col min="13763" max="13763" width="12.28515625" style="9" customWidth="1"/>
    <col min="13764" max="13764" width="7.5703125" style="9" customWidth="1"/>
    <col min="13765" max="13765" width="7.85546875" style="9" customWidth="1"/>
    <col min="13766" max="13766" width="8.28515625" style="9" customWidth="1"/>
    <col min="13767" max="13767" width="9.140625" style="9"/>
    <col min="13768" max="13770" width="7.5703125" style="9" customWidth="1"/>
    <col min="13771" max="13771" width="10.28515625" style="9" customWidth="1"/>
    <col min="13772" max="13772" width="10.5703125" style="9" customWidth="1"/>
    <col min="13773" max="13773" width="11.140625" style="9" customWidth="1"/>
    <col min="13774" max="13774" width="10.42578125" style="9" customWidth="1"/>
    <col min="13775" max="13784" width="11" style="9" customWidth="1"/>
    <col min="13785" max="13785" width="9.140625" style="9" customWidth="1"/>
    <col min="13786" max="13786" width="6.85546875" style="9" customWidth="1"/>
    <col min="13787" max="13787" width="15" style="9" bestFit="1" customWidth="1"/>
    <col min="13788" max="14012" width="9.140625" style="9"/>
    <col min="14013" max="14013" width="4" style="9" customWidth="1"/>
    <col min="14014" max="14014" width="24.42578125" style="9" customWidth="1"/>
    <col min="14015" max="14015" width="19.85546875" style="9" customWidth="1"/>
    <col min="14016" max="14016" width="9.28515625" style="9" customWidth="1"/>
    <col min="14017" max="14017" width="10" style="9" customWidth="1"/>
    <col min="14018" max="14018" width="8.42578125" style="9" customWidth="1"/>
    <col min="14019" max="14019" width="12.28515625" style="9" customWidth="1"/>
    <col min="14020" max="14020" width="7.5703125" style="9" customWidth="1"/>
    <col min="14021" max="14021" width="7.85546875" style="9" customWidth="1"/>
    <col min="14022" max="14022" width="8.28515625" style="9" customWidth="1"/>
    <col min="14023" max="14023" width="9.140625" style="9"/>
    <col min="14024" max="14026" width="7.5703125" style="9" customWidth="1"/>
    <col min="14027" max="14027" width="10.28515625" style="9" customWidth="1"/>
    <col min="14028" max="14028" width="10.5703125" style="9" customWidth="1"/>
    <col min="14029" max="14029" width="11.140625" style="9" customWidth="1"/>
    <col min="14030" max="14030" width="10.42578125" style="9" customWidth="1"/>
    <col min="14031" max="14040" width="11" style="9" customWidth="1"/>
    <col min="14041" max="14041" width="9.140625" style="9" customWidth="1"/>
    <col min="14042" max="14042" width="6.85546875" style="9" customWidth="1"/>
    <col min="14043" max="14043" width="15" style="9" bestFit="1" customWidth="1"/>
    <col min="14044" max="14268" width="9.140625" style="9"/>
    <col min="14269" max="14269" width="4" style="9" customWidth="1"/>
    <col min="14270" max="14270" width="24.42578125" style="9" customWidth="1"/>
    <col min="14271" max="14271" width="19.85546875" style="9" customWidth="1"/>
    <col min="14272" max="14272" width="9.28515625" style="9" customWidth="1"/>
    <col min="14273" max="14273" width="10" style="9" customWidth="1"/>
    <col min="14274" max="14274" width="8.42578125" style="9" customWidth="1"/>
    <col min="14275" max="14275" width="12.28515625" style="9" customWidth="1"/>
    <col min="14276" max="14276" width="7.5703125" style="9" customWidth="1"/>
    <col min="14277" max="14277" width="7.85546875" style="9" customWidth="1"/>
    <col min="14278" max="14278" width="8.28515625" style="9" customWidth="1"/>
    <col min="14279" max="14279" width="9.140625" style="9"/>
    <col min="14280" max="14282" width="7.5703125" style="9" customWidth="1"/>
    <col min="14283" max="14283" width="10.28515625" style="9" customWidth="1"/>
    <col min="14284" max="14284" width="10.5703125" style="9" customWidth="1"/>
    <col min="14285" max="14285" width="11.140625" style="9" customWidth="1"/>
    <col min="14286" max="14286" width="10.42578125" style="9" customWidth="1"/>
    <col min="14287" max="14296" width="11" style="9" customWidth="1"/>
    <col min="14297" max="14297" width="9.140625" style="9" customWidth="1"/>
    <col min="14298" max="14298" width="6.85546875" style="9" customWidth="1"/>
    <col min="14299" max="14299" width="15" style="9" bestFit="1" customWidth="1"/>
    <col min="14300" max="14524" width="9.140625" style="9"/>
    <col min="14525" max="14525" width="4" style="9" customWidth="1"/>
    <col min="14526" max="14526" width="24.42578125" style="9" customWidth="1"/>
    <col min="14527" max="14527" width="19.85546875" style="9" customWidth="1"/>
    <col min="14528" max="14528" width="9.28515625" style="9" customWidth="1"/>
    <col min="14529" max="14529" width="10" style="9" customWidth="1"/>
    <col min="14530" max="14530" width="8.42578125" style="9" customWidth="1"/>
    <col min="14531" max="14531" width="12.28515625" style="9" customWidth="1"/>
    <col min="14532" max="14532" width="7.5703125" style="9" customWidth="1"/>
    <col min="14533" max="14533" width="7.85546875" style="9" customWidth="1"/>
    <col min="14534" max="14534" width="8.28515625" style="9" customWidth="1"/>
    <col min="14535" max="14535" width="9.140625" style="9"/>
    <col min="14536" max="14538" width="7.5703125" style="9" customWidth="1"/>
    <col min="14539" max="14539" width="10.28515625" style="9" customWidth="1"/>
    <col min="14540" max="14540" width="10.5703125" style="9" customWidth="1"/>
    <col min="14541" max="14541" width="11.140625" style="9" customWidth="1"/>
    <col min="14542" max="14542" width="10.42578125" style="9" customWidth="1"/>
    <col min="14543" max="14552" width="11" style="9" customWidth="1"/>
    <col min="14553" max="14553" width="9.140625" style="9" customWidth="1"/>
    <col min="14554" max="14554" width="6.85546875" style="9" customWidth="1"/>
    <col min="14555" max="14555" width="15" style="9" bestFit="1" customWidth="1"/>
    <col min="14556" max="14780" width="9.140625" style="9"/>
    <col min="14781" max="14781" width="4" style="9" customWidth="1"/>
    <col min="14782" max="14782" width="24.42578125" style="9" customWidth="1"/>
    <col min="14783" max="14783" width="19.85546875" style="9" customWidth="1"/>
    <col min="14784" max="14784" width="9.28515625" style="9" customWidth="1"/>
    <col min="14785" max="14785" width="10" style="9" customWidth="1"/>
    <col min="14786" max="14786" width="8.42578125" style="9" customWidth="1"/>
    <col min="14787" max="14787" width="12.28515625" style="9" customWidth="1"/>
    <col min="14788" max="14788" width="7.5703125" style="9" customWidth="1"/>
    <col min="14789" max="14789" width="7.85546875" style="9" customWidth="1"/>
    <col min="14790" max="14790" width="8.28515625" style="9" customWidth="1"/>
    <col min="14791" max="14791" width="9.140625" style="9"/>
    <col min="14792" max="14794" width="7.5703125" style="9" customWidth="1"/>
    <col min="14795" max="14795" width="10.28515625" style="9" customWidth="1"/>
    <col min="14796" max="14796" width="10.5703125" style="9" customWidth="1"/>
    <col min="14797" max="14797" width="11.140625" style="9" customWidth="1"/>
    <col min="14798" max="14798" width="10.42578125" style="9" customWidth="1"/>
    <col min="14799" max="14808" width="11" style="9" customWidth="1"/>
    <col min="14809" max="14809" width="9.140625" style="9" customWidth="1"/>
    <col min="14810" max="14810" width="6.85546875" style="9" customWidth="1"/>
    <col min="14811" max="14811" width="15" style="9" bestFit="1" customWidth="1"/>
    <col min="14812" max="15036" width="9.140625" style="9"/>
    <col min="15037" max="15037" width="4" style="9" customWidth="1"/>
    <col min="15038" max="15038" width="24.42578125" style="9" customWidth="1"/>
    <col min="15039" max="15039" width="19.85546875" style="9" customWidth="1"/>
    <col min="15040" max="15040" width="9.28515625" style="9" customWidth="1"/>
    <col min="15041" max="15041" width="10" style="9" customWidth="1"/>
    <col min="15042" max="15042" width="8.42578125" style="9" customWidth="1"/>
    <col min="15043" max="15043" width="12.28515625" style="9" customWidth="1"/>
    <col min="15044" max="15044" width="7.5703125" style="9" customWidth="1"/>
    <col min="15045" max="15045" width="7.85546875" style="9" customWidth="1"/>
    <col min="15046" max="15046" width="8.28515625" style="9" customWidth="1"/>
    <col min="15047" max="15047" width="9.140625" style="9"/>
    <col min="15048" max="15050" width="7.5703125" style="9" customWidth="1"/>
    <col min="15051" max="15051" width="10.28515625" style="9" customWidth="1"/>
    <col min="15052" max="15052" width="10.5703125" style="9" customWidth="1"/>
    <col min="15053" max="15053" width="11.140625" style="9" customWidth="1"/>
    <col min="15054" max="15054" width="10.42578125" style="9" customWidth="1"/>
    <col min="15055" max="15064" width="11" style="9" customWidth="1"/>
    <col min="15065" max="15065" width="9.140625" style="9" customWidth="1"/>
    <col min="15066" max="15066" width="6.85546875" style="9" customWidth="1"/>
    <col min="15067" max="15067" width="15" style="9" bestFit="1" customWidth="1"/>
    <col min="15068" max="15292" width="9.140625" style="9"/>
    <col min="15293" max="15293" width="4" style="9" customWidth="1"/>
    <col min="15294" max="15294" width="24.42578125" style="9" customWidth="1"/>
    <col min="15295" max="15295" width="19.85546875" style="9" customWidth="1"/>
    <col min="15296" max="15296" width="9.28515625" style="9" customWidth="1"/>
    <col min="15297" max="15297" width="10" style="9" customWidth="1"/>
    <col min="15298" max="15298" width="8.42578125" style="9" customWidth="1"/>
    <col min="15299" max="15299" width="12.28515625" style="9" customWidth="1"/>
    <col min="15300" max="15300" width="7.5703125" style="9" customWidth="1"/>
    <col min="15301" max="15301" width="7.85546875" style="9" customWidth="1"/>
    <col min="15302" max="15302" width="8.28515625" style="9" customWidth="1"/>
    <col min="15303" max="15303" width="9.140625" style="9"/>
    <col min="15304" max="15306" width="7.5703125" style="9" customWidth="1"/>
    <col min="15307" max="15307" width="10.28515625" style="9" customWidth="1"/>
    <col min="15308" max="15308" width="10.5703125" style="9" customWidth="1"/>
    <col min="15309" max="15309" width="11.140625" style="9" customWidth="1"/>
    <col min="15310" max="15310" width="10.42578125" style="9" customWidth="1"/>
    <col min="15311" max="15320" width="11" style="9" customWidth="1"/>
    <col min="15321" max="15321" width="9.140625" style="9" customWidth="1"/>
    <col min="15322" max="15322" width="6.85546875" style="9" customWidth="1"/>
    <col min="15323" max="15323" width="15" style="9" bestFit="1" customWidth="1"/>
    <col min="15324" max="15548" width="9.140625" style="9"/>
    <col min="15549" max="15549" width="4" style="9" customWidth="1"/>
    <col min="15550" max="15550" width="24.42578125" style="9" customWidth="1"/>
    <col min="15551" max="15551" width="19.85546875" style="9" customWidth="1"/>
    <col min="15552" max="15552" width="9.28515625" style="9" customWidth="1"/>
    <col min="15553" max="15553" width="10" style="9" customWidth="1"/>
    <col min="15554" max="15554" width="8.42578125" style="9" customWidth="1"/>
    <col min="15555" max="15555" width="12.28515625" style="9" customWidth="1"/>
    <col min="15556" max="15556" width="7.5703125" style="9" customWidth="1"/>
    <col min="15557" max="15557" width="7.85546875" style="9" customWidth="1"/>
    <col min="15558" max="15558" width="8.28515625" style="9" customWidth="1"/>
    <col min="15559" max="15559" width="9.140625" style="9"/>
    <col min="15560" max="15562" width="7.5703125" style="9" customWidth="1"/>
    <col min="15563" max="15563" width="10.28515625" style="9" customWidth="1"/>
    <col min="15564" max="15564" width="10.5703125" style="9" customWidth="1"/>
    <col min="15565" max="15565" width="11.140625" style="9" customWidth="1"/>
    <col min="15566" max="15566" width="10.42578125" style="9" customWidth="1"/>
    <col min="15567" max="15576" width="11" style="9" customWidth="1"/>
    <col min="15577" max="15577" width="9.140625" style="9" customWidth="1"/>
    <col min="15578" max="15578" width="6.85546875" style="9" customWidth="1"/>
    <col min="15579" max="15579" width="15" style="9" bestFit="1" customWidth="1"/>
    <col min="15580" max="15804" width="9.140625" style="9"/>
    <col min="15805" max="15805" width="4" style="9" customWidth="1"/>
    <col min="15806" max="15806" width="24.42578125" style="9" customWidth="1"/>
    <col min="15807" max="15807" width="19.85546875" style="9" customWidth="1"/>
    <col min="15808" max="15808" width="9.28515625" style="9" customWidth="1"/>
    <col min="15809" max="15809" width="10" style="9" customWidth="1"/>
    <col min="15810" max="15810" width="8.42578125" style="9" customWidth="1"/>
    <col min="15811" max="15811" width="12.28515625" style="9" customWidth="1"/>
    <col min="15812" max="15812" width="7.5703125" style="9" customWidth="1"/>
    <col min="15813" max="15813" width="7.85546875" style="9" customWidth="1"/>
    <col min="15814" max="15814" width="8.28515625" style="9" customWidth="1"/>
    <col min="15815" max="15815" width="9.140625" style="9"/>
    <col min="15816" max="15818" width="7.5703125" style="9" customWidth="1"/>
    <col min="15819" max="15819" width="10.28515625" style="9" customWidth="1"/>
    <col min="15820" max="15820" width="10.5703125" style="9" customWidth="1"/>
    <col min="15821" max="15821" width="11.140625" style="9" customWidth="1"/>
    <col min="15822" max="15822" width="10.42578125" style="9" customWidth="1"/>
    <col min="15823" max="15832" width="11" style="9" customWidth="1"/>
    <col min="15833" max="15833" width="9.140625" style="9" customWidth="1"/>
    <col min="15834" max="15834" width="6.85546875" style="9" customWidth="1"/>
    <col min="15835" max="15835" width="15" style="9" bestFit="1" customWidth="1"/>
    <col min="15836" max="16060" width="9.140625" style="9"/>
    <col min="16061" max="16061" width="4" style="9" customWidth="1"/>
    <col min="16062" max="16062" width="24.42578125" style="9" customWidth="1"/>
    <col min="16063" max="16063" width="19.85546875" style="9" customWidth="1"/>
    <col min="16064" max="16064" width="9.28515625" style="9" customWidth="1"/>
    <col min="16065" max="16065" width="10" style="9" customWidth="1"/>
    <col min="16066" max="16066" width="8.42578125" style="9" customWidth="1"/>
    <col min="16067" max="16067" width="12.28515625" style="9" customWidth="1"/>
    <col min="16068" max="16068" width="7.5703125" style="9" customWidth="1"/>
    <col min="16069" max="16069" width="7.85546875" style="9" customWidth="1"/>
    <col min="16070" max="16070" width="8.28515625" style="9" customWidth="1"/>
    <col min="16071" max="16071" width="9.140625" style="9"/>
    <col min="16072" max="16074" width="7.5703125" style="9" customWidth="1"/>
    <col min="16075" max="16075" width="10.28515625" style="9" customWidth="1"/>
    <col min="16076" max="16076" width="10.5703125" style="9" customWidth="1"/>
    <col min="16077" max="16077" width="11.140625" style="9" customWidth="1"/>
    <col min="16078" max="16078" width="10.42578125" style="9" customWidth="1"/>
    <col min="16079" max="16088" width="11" style="9" customWidth="1"/>
    <col min="16089" max="16089" width="9.140625" style="9" customWidth="1"/>
    <col min="16090" max="16090" width="6.85546875" style="9" customWidth="1"/>
    <col min="16091" max="16091" width="15" style="9" bestFit="1" customWidth="1"/>
    <col min="16092" max="16384" width="9.140625" style="9"/>
  </cols>
  <sheetData>
    <row r="2" spans="1:21" ht="45">
      <c r="A2" s="1" t="s">
        <v>0</v>
      </c>
      <c r="B2" s="166" t="s">
        <v>1</v>
      </c>
      <c r="C2" s="165" t="s">
        <v>197</v>
      </c>
      <c r="D2" s="165" t="s">
        <v>209</v>
      </c>
      <c r="E2" s="165" t="s">
        <v>210</v>
      </c>
      <c r="F2" s="170" t="s">
        <v>153</v>
      </c>
      <c r="G2" s="66" t="s">
        <v>154</v>
      </c>
      <c r="H2" s="66" t="s">
        <v>155</v>
      </c>
      <c r="I2" s="66" t="s">
        <v>156</v>
      </c>
      <c r="J2" s="66" t="s">
        <v>157</v>
      </c>
      <c r="K2" s="84" t="s">
        <v>158</v>
      </c>
      <c r="L2" s="87" t="s">
        <v>159</v>
      </c>
      <c r="M2" s="84" t="s">
        <v>160</v>
      </c>
      <c r="N2" s="67" t="s">
        <v>161</v>
      </c>
      <c r="O2" s="66" t="s">
        <v>162</v>
      </c>
      <c r="P2" s="67" t="s">
        <v>180</v>
      </c>
      <c r="Q2" s="66" t="s">
        <v>174</v>
      </c>
      <c r="R2" s="67" t="s">
        <v>181</v>
      </c>
      <c r="S2" s="66" t="s">
        <v>173</v>
      </c>
      <c r="T2" s="67" t="s">
        <v>182</v>
      </c>
      <c r="U2" s="66" t="s">
        <v>172</v>
      </c>
    </row>
    <row r="3" spans="1:21" hidden="1">
      <c r="A3" s="1"/>
      <c r="B3" s="166"/>
      <c r="C3" s="164"/>
      <c r="D3" s="164"/>
      <c r="E3" s="164"/>
      <c r="F3" s="170"/>
      <c r="G3" s="66"/>
      <c r="H3" s="66"/>
      <c r="I3" s="66"/>
      <c r="J3" s="66"/>
      <c r="K3" s="84"/>
      <c r="L3" s="87">
        <v>2</v>
      </c>
      <c r="M3" s="84"/>
      <c r="N3" s="67">
        <v>10</v>
      </c>
      <c r="O3" s="66"/>
      <c r="P3" s="67">
        <v>3</v>
      </c>
      <c r="Q3" s="66"/>
      <c r="R3" s="67">
        <v>4</v>
      </c>
      <c r="S3" s="66"/>
      <c r="T3" s="67">
        <v>5</v>
      </c>
      <c r="U3" s="66"/>
    </row>
    <row r="4" spans="1:21" hidden="1">
      <c r="A4" s="1"/>
      <c r="B4" s="166"/>
      <c r="C4" s="164"/>
      <c r="D4" s="164"/>
      <c r="E4" s="164"/>
      <c r="F4" s="170"/>
      <c r="G4" s="66"/>
      <c r="H4" s="66"/>
      <c r="I4" s="66"/>
      <c r="J4" s="66"/>
      <c r="K4" s="84"/>
      <c r="L4" s="87">
        <v>12</v>
      </c>
      <c r="M4" s="84"/>
      <c r="N4" s="67">
        <v>12</v>
      </c>
      <c r="O4" s="66"/>
      <c r="P4" s="67">
        <v>12</v>
      </c>
      <c r="Q4" s="66"/>
      <c r="R4" s="67">
        <v>12</v>
      </c>
      <c r="S4" s="66"/>
      <c r="T4" s="67">
        <v>12</v>
      </c>
      <c r="U4" s="66"/>
    </row>
    <row r="5" spans="1:21" ht="23.25" customHeight="1">
      <c r="A5" s="219">
        <v>1</v>
      </c>
      <c r="B5" s="167" t="s">
        <v>32</v>
      </c>
      <c r="C5" s="164">
        <v>49564</v>
      </c>
      <c r="D5" s="164">
        <v>15994</v>
      </c>
      <c r="E5" s="164">
        <v>818</v>
      </c>
      <c r="F5" s="171">
        <v>68161.5</v>
      </c>
      <c r="G5" s="44">
        <v>1308903</v>
      </c>
      <c r="H5" s="20">
        <v>5.8500000000000003E-2</v>
      </c>
      <c r="I5" s="44">
        <f>G5*H5</f>
        <v>76570.825500000006</v>
      </c>
      <c r="J5" s="82">
        <v>3957374</v>
      </c>
      <c r="K5" s="89">
        <f>J5*H5</f>
        <v>231506.37900000002</v>
      </c>
      <c r="L5" s="85">
        <f>F5*$L$3*$L$4</f>
        <v>1635876</v>
      </c>
      <c r="M5" s="85">
        <f>L5*H5</f>
        <v>95698.745999999999</v>
      </c>
      <c r="N5" s="89">
        <f>F5*$N$3*$N$4</f>
        <v>8179380</v>
      </c>
      <c r="O5" s="89">
        <f>N5*H5</f>
        <v>478493.73000000004</v>
      </c>
      <c r="P5" s="89">
        <f>F5*$P$3*$P$4</f>
        <v>2453814</v>
      </c>
      <c r="Q5" s="89">
        <f>P5*H5</f>
        <v>143548.11900000001</v>
      </c>
      <c r="R5" s="89">
        <f>F5*$R$3*$R$4</f>
        <v>3271752</v>
      </c>
      <c r="S5" s="89">
        <f>R5*H5</f>
        <v>191397.492</v>
      </c>
      <c r="T5" s="89">
        <f>F5*$T$3*$T$4</f>
        <v>4089690</v>
      </c>
      <c r="U5" s="89">
        <f>T5*H5</f>
        <v>239246.86500000002</v>
      </c>
    </row>
    <row r="6" spans="1:21">
      <c r="A6" s="219"/>
      <c r="B6" s="168" t="s">
        <v>34</v>
      </c>
      <c r="C6" s="164">
        <v>103943</v>
      </c>
      <c r="D6" s="164">
        <v>39007</v>
      </c>
      <c r="E6" s="164">
        <v>1886</v>
      </c>
      <c r="F6" s="171">
        <v>136314</v>
      </c>
      <c r="G6" s="44">
        <v>2393829</v>
      </c>
      <c r="H6" s="26">
        <v>6.4500000000000002E-2</v>
      </c>
      <c r="I6" s="44">
        <f t="shared" ref="I6:I26" si="0">G6*H6</f>
        <v>154401.9705</v>
      </c>
      <c r="J6" s="82">
        <v>9921245</v>
      </c>
      <c r="K6" s="89">
        <f t="shared" ref="K6:K26" si="1">J6*H6</f>
        <v>639920.30249999999</v>
      </c>
      <c r="L6" s="85">
        <f t="shared" ref="L6:L26" si="2">F6*$L$3*$L$4</f>
        <v>3271536</v>
      </c>
      <c r="M6" s="85">
        <f t="shared" ref="M6:M26" si="3">L6*H6</f>
        <v>211014.07200000001</v>
      </c>
      <c r="N6" s="89">
        <f t="shared" ref="N6:N26" si="4">F6*$N$3*$N$4</f>
        <v>16357680</v>
      </c>
      <c r="O6" s="89">
        <f t="shared" ref="O6:O26" si="5">N6*H6</f>
        <v>1055070.3600000001</v>
      </c>
      <c r="P6" s="89">
        <f t="shared" ref="P6:P26" si="6">F6*$P$3*$P$4</f>
        <v>4907304</v>
      </c>
      <c r="Q6" s="89">
        <f t="shared" ref="Q6:Q26" si="7">P6*H6</f>
        <v>316521.10800000001</v>
      </c>
      <c r="R6" s="89">
        <f t="shared" ref="R6:R26" si="8">F6*$R$3*$R$4</f>
        <v>6543072</v>
      </c>
      <c r="S6" s="89">
        <f t="shared" ref="S6:S26" si="9">R6*H6</f>
        <v>422028.14400000003</v>
      </c>
      <c r="T6" s="89">
        <f t="shared" ref="T6:T26" si="10">F6*$T$3*$T$4</f>
        <v>8178840</v>
      </c>
      <c r="U6" s="89">
        <f t="shared" ref="U6:U26" si="11">T6*H6</f>
        <v>527535.18000000005</v>
      </c>
    </row>
    <row r="7" spans="1:21">
      <c r="A7" s="25">
        <v>2</v>
      </c>
      <c r="B7" s="168" t="s">
        <v>37</v>
      </c>
      <c r="C7" s="164">
        <v>82671</v>
      </c>
      <c r="D7" s="164">
        <v>41284</v>
      </c>
      <c r="E7" s="164">
        <v>2270</v>
      </c>
      <c r="F7" s="171">
        <v>92294.25</v>
      </c>
      <c r="G7" s="44">
        <v>1738709</v>
      </c>
      <c r="H7" s="26">
        <v>0.21840000000000001</v>
      </c>
      <c r="I7" s="44">
        <f t="shared" si="0"/>
        <v>379734.04560000001</v>
      </c>
      <c r="J7" s="82">
        <v>2939628</v>
      </c>
      <c r="K7" s="89">
        <f t="shared" si="1"/>
        <v>642014.75520000001</v>
      </c>
      <c r="L7" s="85">
        <f t="shared" si="2"/>
        <v>2215062</v>
      </c>
      <c r="M7" s="85">
        <f t="shared" si="3"/>
        <v>483769.54080000002</v>
      </c>
      <c r="N7" s="89">
        <f t="shared" si="4"/>
        <v>11075310</v>
      </c>
      <c r="O7" s="89">
        <f t="shared" si="5"/>
        <v>2418847.7039999999</v>
      </c>
      <c r="P7" s="89">
        <f t="shared" si="6"/>
        <v>3322593</v>
      </c>
      <c r="Q7" s="89">
        <f t="shared" si="7"/>
        <v>725654.3112</v>
      </c>
      <c r="R7" s="89">
        <f t="shared" si="8"/>
        <v>4430124</v>
      </c>
      <c r="S7" s="89">
        <f t="shared" si="9"/>
        <v>967539.08160000003</v>
      </c>
      <c r="T7" s="89">
        <f t="shared" si="10"/>
        <v>5537655</v>
      </c>
      <c r="U7" s="89">
        <f t="shared" si="11"/>
        <v>1209423.852</v>
      </c>
    </row>
    <row r="8" spans="1:21">
      <c r="A8" s="25">
        <v>3</v>
      </c>
      <c r="B8" s="168" t="s">
        <v>40</v>
      </c>
      <c r="C8" s="164">
        <v>150696</v>
      </c>
      <c r="D8" s="164">
        <v>71646</v>
      </c>
      <c r="E8" s="164">
        <v>2770</v>
      </c>
      <c r="F8" s="171">
        <v>227824</v>
      </c>
      <c r="G8" s="44">
        <v>3180520</v>
      </c>
      <c r="H8" s="30">
        <v>4.1000000000000002E-2</v>
      </c>
      <c r="I8" s="44">
        <f t="shared" si="0"/>
        <v>130401.32</v>
      </c>
      <c r="J8" s="82">
        <v>13228327</v>
      </c>
      <c r="K8" s="89">
        <f t="shared" si="1"/>
        <v>542361.40700000001</v>
      </c>
      <c r="L8" s="85">
        <f t="shared" si="2"/>
        <v>5467776</v>
      </c>
      <c r="M8" s="85">
        <f t="shared" si="3"/>
        <v>224178.81600000002</v>
      </c>
      <c r="N8" s="89">
        <f t="shared" si="4"/>
        <v>27338880</v>
      </c>
      <c r="O8" s="89">
        <f t="shared" si="5"/>
        <v>1120894.08</v>
      </c>
      <c r="P8" s="89">
        <f t="shared" si="6"/>
        <v>8201664</v>
      </c>
      <c r="Q8" s="89">
        <f t="shared" si="7"/>
        <v>336268.22399999999</v>
      </c>
      <c r="R8" s="89">
        <f t="shared" si="8"/>
        <v>10935552</v>
      </c>
      <c r="S8" s="89">
        <f t="shared" si="9"/>
        <v>448357.63200000004</v>
      </c>
      <c r="T8" s="89">
        <f t="shared" si="10"/>
        <v>13669440</v>
      </c>
      <c r="U8" s="89">
        <f t="shared" si="11"/>
        <v>560447.04</v>
      </c>
    </row>
    <row r="9" spans="1:21" ht="27" customHeight="1">
      <c r="A9" s="25">
        <v>4</v>
      </c>
      <c r="B9" s="168" t="s">
        <v>42</v>
      </c>
      <c r="C9" s="164">
        <v>38528</v>
      </c>
      <c r="D9" s="164">
        <v>17711</v>
      </c>
      <c r="E9" s="164">
        <v>914</v>
      </c>
      <c r="F9" s="171">
        <v>58414</v>
      </c>
      <c r="G9" s="44">
        <v>1046146</v>
      </c>
      <c r="H9" s="30">
        <v>4.7500000000000001E-2</v>
      </c>
      <c r="I9" s="44">
        <f t="shared" si="0"/>
        <v>49691.934999999998</v>
      </c>
      <c r="J9" s="82">
        <v>2374424</v>
      </c>
      <c r="K9" s="89">
        <f t="shared" si="1"/>
        <v>112785.14</v>
      </c>
      <c r="L9" s="85">
        <f t="shared" si="2"/>
        <v>1401936</v>
      </c>
      <c r="M9" s="85">
        <f t="shared" si="3"/>
        <v>66591.960000000006</v>
      </c>
      <c r="N9" s="89">
        <f t="shared" si="4"/>
        <v>7009680</v>
      </c>
      <c r="O9" s="89">
        <f t="shared" si="5"/>
        <v>332959.8</v>
      </c>
      <c r="P9" s="89">
        <f t="shared" si="6"/>
        <v>2102904</v>
      </c>
      <c r="Q9" s="89">
        <f t="shared" si="7"/>
        <v>99887.94</v>
      </c>
      <c r="R9" s="89">
        <f t="shared" si="8"/>
        <v>2803872</v>
      </c>
      <c r="S9" s="89">
        <f t="shared" si="9"/>
        <v>133183.92000000001</v>
      </c>
      <c r="T9" s="89">
        <f t="shared" si="10"/>
        <v>3504840</v>
      </c>
      <c r="U9" s="89">
        <f t="shared" si="11"/>
        <v>166479.9</v>
      </c>
    </row>
    <row r="10" spans="1:21" ht="30" customHeight="1">
      <c r="A10" s="25">
        <v>5</v>
      </c>
      <c r="B10" s="167" t="s">
        <v>45</v>
      </c>
      <c r="C10" s="164">
        <v>24883</v>
      </c>
      <c r="D10" s="164">
        <v>14458</v>
      </c>
      <c r="E10" s="164">
        <v>723</v>
      </c>
      <c r="F10" s="171">
        <v>40709</v>
      </c>
      <c r="G10" s="44">
        <v>588053</v>
      </c>
      <c r="H10" s="32">
        <v>0.1034559</v>
      </c>
      <c r="I10" s="44">
        <f t="shared" si="0"/>
        <v>60837.5523627</v>
      </c>
      <c r="J10" s="82">
        <v>2823304</v>
      </c>
      <c r="K10" s="89">
        <f t="shared" si="1"/>
        <v>292087.45629360003</v>
      </c>
      <c r="L10" s="85">
        <f t="shared" si="2"/>
        <v>977016</v>
      </c>
      <c r="M10" s="85">
        <f t="shared" si="3"/>
        <v>101078.0695944</v>
      </c>
      <c r="N10" s="89">
        <f t="shared" si="4"/>
        <v>4885080</v>
      </c>
      <c r="O10" s="89">
        <f t="shared" si="5"/>
        <v>505390.34797200002</v>
      </c>
      <c r="P10" s="89">
        <f t="shared" si="6"/>
        <v>1465524</v>
      </c>
      <c r="Q10" s="89">
        <f t="shared" si="7"/>
        <v>151617.10439160001</v>
      </c>
      <c r="R10" s="89">
        <f t="shared" si="8"/>
        <v>1954032</v>
      </c>
      <c r="S10" s="89">
        <f t="shared" si="9"/>
        <v>202156.13918880001</v>
      </c>
      <c r="T10" s="89">
        <f t="shared" si="10"/>
        <v>2442540</v>
      </c>
      <c r="U10" s="89">
        <f t="shared" si="11"/>
        <v>252695.17398600001</v>
      </c>
    </row>
    <row r="11" spans="1:21" ht="25.5" customHeight="1">
      <c r="A11" s="25">
        <v>6</v>
      </c>
      <c r="B11" s="168" t="s">
        <v>48</v>
      </c>
      <c r="C11" s="164">
        <v>6079</v>
      </c>
      <c r="D11" s="164">
        <v>2929</v>
      </c>
      <c r="E11" s="164">
        <v>262</v>
      </c>
      <c r="F11" s="171">
        <v>10258.5</v>
      </c>
      <c r="G11" s="44">
        <v>124745</v>
      </c>
      <c r="H11" s="30">
        <v>0.188</v>
      </c>
      <c r="I11" s="44">
        <f t="shared" si="0"/>
        <v>23452.06</v>
      </c>
      <c r="J11" s="82">
        <v>1493406</v>
      </c>
      <c r="K11" s="89">
        <f t="shared" si="1"/>
        <v>280760.32799999998</v>
      </c>
      <c r="L11" s="85">
        <f t="shared" si="2"/>
        <v>246204</v>
      </c>
      <c r="M11" s="85">
        <f t="shared" si="3"/>
        <v>46286.351999999999</v>
      </c>
      <c r="N11" s="89">
        <f t="shared" si="4"/>
        <v>1231020</v>
      </c>
      <c r="O11" s="89">
        <f t="shared" si="5"/>
        <v>231431.76</v>
      </c>
      <c r="P11" s="89">
        <f t="shared" si="6"/>
        <v>369306</v>
      </c>
      <c r="Q11" s="89">
        <f t="shared" si="7"/>
        <v>69429.528000000006</v>
      </c>
      <c r="R11" s="89">
        <f t="shared" si="8"/>
        <v>492408</v>
      </c>
      <c r="S11" s="89">
        <f t="shared" si="9"/>
        <v>92572.703999999998</v>
      </c>
      <c r="T11" s="89">
        <f t="shared" si="10"/>
        <v>615510</v>
      </c>
      <c r="U11" s="89">
        <f t="shared" si="11"/>
        <v>115715.88</v>
      </c>
    </row>
    <row r="12" spans="1:21" ht="24.75" customHeight="1">
      <c r="A12" s="25">
        <v>7</v>
      </c>
      <c r="B12" s="168" t="s">
        <v>50</v>
      </c>
      <c r="C12" s="164">
        <v>40905</v>
      </c>
      <c r="D12" s="164">
        <v>29759</v>
      </c>
      <c r="E12" s="164">
        <v>2512</v>
      </c>
      <c r="F12" s="171">
        <v>75478</v>
      </c>
      <c r="G12" s="44">
        <v>1061255</v>
      </c>
      <c r="H12" s="30">
        <v>6.6000000000000003E-2</v>
      </c>
      <c r="I12" s="44">
        <f t="shared" si="0"/>
        <v>70042.83</v>
      </c>
      <c r="J12" s="82">
        <v>8159940</v>
      </c>
      <c r="K12" s="89">
        <f t="shared" si="1"/>
        <v>538556.04</v>
      </c>
      <c r="L12" s="85">
        <f t="shared" si="2"/>
        <v>1811472</v>
      </c>
      <c r="M12" s="85">
        <f t="shared" si="3"/>
        <v>119557.152</v>
      </c>
      <c r="N12" s="89">
        <f t="shared" si="4"/>
        <v>9057360</v>
      </c>
      <c r="O12" s="89">
        <f t="shared" si="5"/>
        <v>597785.76</v>
      </c>
      <c r="P12" s="89">
        <f t="shared" si="6"/>
        <v>2717208</v>
      </c>
      <c r="Q12" s="89">
        <f t="shared" si="7"/>
        <v>179335.728</v>
      </c>
      <c r="R12" s="89">
        <f t="shared" si="8"/>
        <v>3622944</v>
      </c>
      <c r="S12" s="89">
        <f t="shared" si="9"/>
        <v>239114.304</v>
      </c>
      <c r="T12" s="89">
        <f t="shared" si="10"/>
        <v>4528680</v>
      </c>
      <c r="U12" s="89">
        <f t="shared" si="11"/>
        <v>298892.88</v>
      </c>
    </row>
    <row r="13" spans="1:21" ht="25.5" customHeight="1">
      <c r="A13" s="25">
        <v>8</v>
      </c>
      <c r="B13" s="168" t="s">
        <v>53</v>
      </c>
      <c r="C13" s="164">
        <v>78610</v>
      </c>
      <c r="D13" s="164">
        <v>34723</v>
      </c>
      <c r="E13" s="173">
        <v>2070</v>
      </c>
      <c r="F13" s="171">
        <v>79779</v>
      </c>
      <c r="G13" s="44">
        <v>1204644</v>
      </c>
      <c r="H13" s="30">
        <v>0.155</v>
      </c>
      <c r="I13" s="44">
        <f t="shared" si="0"/>
        <v>186719.82</v>
      </c>
      <c r="J13" s="82">
        <v>484866</v>
      </c>
      <c r="K13" s="89">
        <f t="shared" si="1"/>
        <v>75154.23</v>
      </c>
      <c r="L13" s="85">
        <f t="shared" si="2"/>
        <v>1914696</v>
      </c>
      <c r="M13" s="85">
        <f t="shared" si="3"/>
        <v>296777.88</v>
      </c>
      <c r="N13" s="89">
        <f t="shared" si="4"/>
        <v>9573480</v>
      </c>
      <c r="O13" s="89">
        <f t="shared" si="5"/>
        <v>1483889.4</v>
      </c>
      <c r="P13" s="89">
        <f t="shared" si="6"/>
        <v>2872044</v>
      </c>
      <c r="Q13" s="89">
        <f t="shared" si="7"/>
        <v>445166.82</v>
      </c>
      <c r="R13" s="89">
        <f t="shared" si="8"/>
        <v>3829392</v>
      </c>
      <c r="S13" s="89">
        <f t="shared" si="9"/>
        <v>593555.76</v>
      </c>
      <c r="T13" s="89">
        <f t="shared" si="10"/>
        <v>4786740</v>
      </c>
      <c r="U13" s="89">
        <f t="shared" si="11"/>
        <v>741944.7</v>
      </c>
    </row>
    <row r="14" spans="1:21" ht="40.5" customHeight="1">
      <c r="A14" s="25">
        <v>9</v>
      </c>
      <c r="B14" s="168" t="s">
        <v>56</v>
      </c>
      <c r="C14" s="164">
        <v>22383</v>
      </c>
      <c r="D14" s="164">
        <v>10568</v>
      </c>
      <c r="E14" s="164">
        <v>918</v>
      </c>
      <c r="F14" s="171">
        <v>34241.25</v>
      </c>
      <c r="G14" s="44">
        <v>567442</v>
      </c>
      <c r="H14" s="30">
        <v>2.9399999999999999E-2</v>
      </c>
      <c r="I14" s="44">
        <f t="shared" si="0"/>
        <v>16682.7948</v>
      </c>
      <c r="J14" s="82">
        <v>965790</v>
      </c>
      <c r="K14" s="89">
        <f t="shared" si="1"/>
        <v>28394.225999999999</v>
      </c>
      <c r="L14" s="85">
        <f t="shared" si="2"/>
        <v>821790</v>
      </c>
      <c r="M14" s="85">
        <f t="shared" si="3"/>
        <v>24160.626</v>
      </c>
      <c r="N14" s="89">
        <f t="shared" si="4"/>
        <v>4108950</v>
      </c>
      <c r="O14" s="89">
        <f t="shared" si="5"/>
        <v>120803.12999999999</v>
      </c>
      <c r="P14" s="89">
        <f t="shared" si="6"/>
        <v>1232685</v>
      </c>
      <c r="Q14" s="89">
        <f t="shared" si="7"/>
        <v>36240.938999999998</v>
      </c>
      <c r="R14" s="89">
        <f t="shared" si="8"/>
        <v>1643580</v>
      </c>
      <c r="S14" s="89">
        <f t="shared" si="9"/>
        <v>48321.252</v>
      </c>
      <c r="T14" s="89">
        <f t="shared" si="10"/>
        <v>2054475</v>
      </c>
      <c r="U14" s="89">
        <f t="shared" si="11"/>
        <v>60401.564999999995</v>
      </c>
    </row>
    <row r="15" spans="1:21" ht="37.5" customHeight="1">
      <c r="A15" s="25">
        <v>10</v>
      </c>
      <c r="B15" s="168" t="s">
        <v>59</v>
      </c>
      <c r="C15" s="164">
        <v>19836</v>
      </c>
      <c r="D15" s="164">
        <v>7574</v>
      </c>
      <c r="E15" s="164">
        <v>544</v>
      </c>
      <c r="F15" s="171">
        <v>28414</v>
      </c>
      <c r="G15" s="44">
        <v>404018</v>
      </c>
      <c r="H15" s="26">
        <v>6.1499999999999999E-2</v>
      </c>
      <c r="I15" s="44">
        <f t="shared" si="0"/>
        <v>24847.107</v>
      </c>
      <c r="J15" s="82">
        <v>3714984</v>
      </c>
      <c r="K15" s="89">
        <f t="shared" si="1"/>
        <v>228471.516</v>
      </c>
      <c r="L15" s="85">
        <f t="shared" si="2"/>
        <v>681936</v>
      </c>
      <c r="M15" s="85">
        <f t="shared" si="3"/>
        <v>41939.063999999998</v>
      </c>
      <c r="N15" s="89">
        <f t="shared" si="4"/>
        <v>3409680</v>
      </c>
      <c r="O15" s="89">
        <f t="shared" si="5"/>
        <v>209695.32</v>
      </c>
      <c r="P15" s="89">
        <f t="shared" si="6"/>
        <v>1022904</v>
      </c>
      <c r="Q15" s="89">
        <f t="shared" si="7"/>
        <v>62908.595999999998</v>
      </c>
      <c r="R15" s="89">
        <f t="shared" si="8"/>
        <v>1363872</v>
      </c>
      <c r="S15" s="89">
        <f t="shared" si="9"/>
        <v>83878.127999999997</v>
      </c>
      <c r="T15" s="89">
        <f t="shared" si="10"/>
        <v>1704840</v>
      </c>
      <c r="U15" s="89">
        <f t="shared" si="11"/>
        <v>104847.66</v>
      </c>
    </row>
    <row r="16" spans="1:21" ht="51" customHeight="1">
      <c r="A16" s="25">
        <v>11</v>
      </c>
      <c r="B16" s="168" t="s">
        <v>61</v>
      </c>
      <c r="C16" s="164">
        <v>79909</v>
      </c>
      <c r="D16" s="164">
        <v>35418</v>
      </c>
      <c r="E16" s="164">
        <v>2724</v>
      </c>
      <c r="F16" s="171">
        <v>119633.25</v>
      </c>
      <c r="G16" s="44">
        <v>1864995</v>
      </c>
      <c r="H16" s="26">
        <v>0.1205</v>
      </c>
      <c r="I16" s="44">
        <f t="shared" si="0"/>
        <v>224731.89749999999</v>
      </c>
      <c r="J16" s="82">
        <v>7726320</v>
      </c>
      <c r="K16" s="89">
        <f t="shared" si="1"/>
        <v>931021.55999999994</v>
      </c>
      <c r="L16" s="85">
        <f t="shared" si="2"/>
        <v>2871198</v>
      </c>
      <c r="M16" s="85">
        <f t="shared" si="3"/>
        <v>345979.359</v>
      </c>
      <c r="N16" s="89">
        <f t="shared" si="4"/>
        <v>14355990</v>
      </c>
      <c r="O16" s="89">
        <f t="shared" si="5"/>
        <v>1729896.7949999999</v>
      </c>
      <c r="P16" s="89">
        <f t="shared" si="6"/>
        <v>4306797</v>
      </c>
      <c r="Q16" s="89">
        <f t="shared" si="7"/>
        <v>518969.03849999997</v>
      </c>
      <c r="R16" s="89">
        <f t="shared" si="8"/>
        <v>5742396</v>
      </c>
      <c r="S16" s="89">
        <f t="shared" si="9"/>
        <v>691958.71799999999</v>
      </c>
      <c r="T16" s="89">
        <f t="shared" si="10"/>
        <v>7177995</v>
      </c>
      <c r="U16" s="89">
        <f t="shared" si="11"/>
        <v>864948.39749999996</v>
      </c>
    </row>
    <row r="17" spans="1:21" ht="46.5" customHeight="1">
      <c r="A17" s="25">
        <v>12</v>
      </c>
      <c r="B17" s="168" t="s">
        <v>64</v>
      </c>
      <c r="C17" s="164">
        <v>107655</v>
      </c>
      <c r="D17" s="164">
        <v>63867</v>
      </c>
      <c r="E17" s="164">
        <v>4169</v>
      </c>
      <c r="F17" s="171">
        <v>128898.75</v>
      </c>
      <c r="G17" s="44">
        <v>1920831</v>
      </c>
      <c r="H17" s="34">
        <v>0.09</v>
      </c>
      <c r="I17" s="44">
        <f t="shared" si="0"/>
        <v>172874.78999999998</v>
      </c>
      <c r="J17" s="82">
        <v>3772967</v>
      </c>
      <c r="K17" s="89">
        <f t="shared" si="1"/>
        <v>339567.02999999997</v>
      </c>
      <c r="L17" s="85">
        <f t="shared" si="2"/>
        <v>3093570</v>
      </c>
      <c r="M17" s="85">
        <f t="shared" si="3"/>
        <v>278421.3</v>
      </c>
      <c r="N17" s="89">
        <f t="shared" si="4"/>
        <v>15467850</v>
      </c>
      <c r="O17" s="89">
        <f t="shared" si="5"/>
        <v>1392106.5</v>
      </c>
      <c r="P17" s="89">
        <f t="shared" si="6"/>
        <v>4640355</v>
      </c>
      <c r="Q17" s="89">
        <f t="shared" si="7"/>
        <v>417631.95</v>
      </c>
      <c r="R17" s="89">
        <f t="shared" si="8"/>
        <v>6187140</v>
      </c>
      <c r="S17" s="89">
        <f t="shared" si="9"/>
        <v>556842.6</v>
      </c>
      <c r="T17" s="89">
        <f t="shared" si="10"/>
        <v>7733925</v>
      </c>
      <c r="U17" s="89">
        <f t="shared" si="11"/>
        <v>696053.25</v>
      </c>
    </row>
    <row r="18" spans="1:21" ht="46.5" customHeight="1">
      <c r="A18" s="25">
        <v>13</v>
      </c>
      <c r="B18" s="168" t="s">
        <v>67</v>
      </c>
      <c r="C18" s="164">
        <v>61949</v>
      </c>
      <c r="D18" s="164">
        <v>32639</v>
      </c>
      <c r="E18" s="164">
        <v>1684</v>
      </c>
      <c r="F18" s="171">
        <v>67065.75</v>
      </c>
      <c r="G18" s="44">
        <v>523044</v>
      </c>
      <c r="H18" s="34">
        <v>0.105</v>
      </c>
      <c r="I18" s="44">
        <f t="shared" si="0"/>
        <v>54919.619999999995</v>
      </c>
      <c r="J18" s="60">
        <v>7427100</v>
      </c>
      <c r="K18" s="89">
        <f t="shared" si="1"/>
        <v>779845.5</v>
      </c>
      <c r="L18" s="85">
        <f t="shared" si="2"/>
        <v>1609578</v>
      </c>
      <c r="M18" s="85">
        <f t="shared" si="3"/>
        <v>169005.69</v>
      </c>
      <c r="N18" s="89">
        <f t="shared" si="4"/>
        <v>8047890</v>
      </c>
      <c r="O18" s="89">
        <f t="shared" si="5"/>
        <v>845028.45</v>
      </c>
      <c r="P18" s="89">
        <f t="shared" si="6"/>
        <v>2414367</v>
      </c>
      <c r="Q18" s="89">
        <f t="shared" si="7"/>
        <v>253508.535</v>
      </c>
      <c r="R18" s="89">
        <f t="shared" si="8"/>
        <v>3219156</v>
      </c>
      <c r="S18" s="89">
        <f t="shared" si="9"/>
        <v>338011.38</v>
      </c>
      <c r="T18" s="89">
        <f t="shared" si="10"/>
        <v>4023945</v>
      </c>
      <c r="U18" s="89">
        <f t="shared" si="11"/>
        <v>422514.22499999998</v>
      </c>
    </row>
    <row r="19" spans="1:21" ht="46.5" customHeight="1">
      <c r="A19" s="25">
        <v>14</v>
      </c>
      <c r="B19" s="168" t="s">
        <v>69</v>
      </c>
      <c r="C19" s="164">
        <v>8176</v>
      </c>
      <c r="D19" s="164">
        <v>6787</v>
      </c>
      <c r="E19" s="164">
        <v>551</v>
      </c>
      <c r="F19" s="171">
        <v>13615.75</v>
      </c>
      <c r="G19" s="44">
        <v>91258</v>
      </c>
      <c r="H19" s="35">
        <v>0.23400000000000001</v>
      </c>
      <c r="I19" s="44">
        <f t="shared" si="0"/>
        <v>21354.372000000003</v>
      </c>
      <c r="J19" s="60">
        <v>1629570</v>
      </c>
      <c r="K19" s="89">
        <f t="shared" si="1"/>
        <v>381319.38</v>
      </c>
      <c r="L19" s="85">
        <f t="shared" si="2"/>
        <v>326778</v>
      </c>
      <c r="M19" s="85">
        <f t="shared" si="3"/>
        <v>76466.052000000011</v>
      </c>
      <c r="N19" s="89">
        <f t="shared" si="4"/>
        <v>1633890</v>
      </c>
      <c r="O19" s="89">
        <f t="shared" si="5"/>
        <v>382330.26</v>
      </c>
      <c r="P19" s="89">
        <f t="shared" si="6"/>
        <v>490167</v>
      </c>
      <c r="Q19" s="89">
        <f t="shared" si="7"/>
        <v>114699.07800000001</v>
      </c>
      <c r="R19" s="89">
        <f t="shared" si="8"/>
        <v>653556</v>
      </c>
      <c r="S19" s="89">
        <f t="shared" si="9"/>
        <v>152932.10400000002</v>
      </c>
      <c r="T19" s="89">
        <f t="shared" si="10"/>
        <v>816945</v>
      </c>
      <c r="U19" s="89">
        <f t="shared" si="11"/>
        <v>191165.13</v>
      </c>
    </row>
    <row r="20" spans="1:21" ht="46.5" customHeight="1">
      <c r="A20" s="25">
        <v>15</v>
      </c>
      <c r="B20" s="169" t="s">
        <v>72</v>
      </c>
      <c r="C20" s="164">
        <v>21046</v>
      </c>
      <c r="D20" s="164">
        <v>8827</v>
      </c>
      <c r="E20" s="164"/>
      <c r="F20" s="171">
        <v>22701.5</v>
      </c>
      <c r="G20" s="44">
        <v>142940</v>
      </c>
      <c r="H20" s="34">
        <v>0.316</v>
      </c>
      <c r="I20" s="44">
        <f t="shared" si="0"/>
        <v>45169.04</v>
      </c>
      <c r="J20" s="60">
        <v>3203802</v>
      </c>
      <c r="K20" s="89">
        <f t="shared" si="1"/>
        <v>1012401.432</v>
      </c>
      <c r="L20" s="85">
        <f t="shared" si="2"/>
        <v>544836</v>
      </c>
      <c r="M20" s="85">
        <f t="shared" si="3"/>
        <v>172168.17600000001</v>
      </c>
      <c r="N20" s="89">
        <f t="shared" si="4"/>
        <v>2724180</v>
      </c>
      <c r="O20" s="89">
        <f t="shared" si="5"/>
        <v>860840.88</v>
      </c>
      <c r="P20" s="89">
        <f t="shared" si="6"/>
        <v>817254</v>
      </c>
      <c r="Q20" s="89">
        <f t="shared" si="7"/>
        <v>258252.264</v>
      </c>
      <c r="R20" s="89">
        <f t="shared" si="8"/>
        <v>1089672</v>
      </c>
      <c r="S20" s="89">
        <f t="shared" si="9"/>
        <v>344336.35200000001</v>
      </c>
      <c r="T20" s="89">
        <f t="shared" si="10"/>
        <v>1362090</v>
      </c>
      <c r="U20" s="89">
        <f t="shared" si="11"/>
        <v>430420.44</v>
      </c>
    </row>
    <row r="21" spans="1:21" ht="46.5" customHeight="1">
      <c r="A21" s="25">
        <v>16</v>
      </c>
      <c r="B21" s="169" t="s">
        <v>74</v>
      </c>
      <c r="C21" s="164">
        <v>29978</v>
      </c>
      <c r="D21" s="164">
        <v>16822</v>
      </c>
      <c r="E21" s="164"/>
      <c r="F21" s="171">
        <v>41466.75</v>
      </c>
      <c r="G21" s="44">
        <v>258837</v>
      </c>
      <c r="H21" s="34">
        <v>0.38</v>
      </c>
      <c r="I21" s="44">
        <f t="shared" si="0"/>
        <v>98358.06</v>
      </c>
      <c r="J21" s="60">
        <v>3977280</v>
      </c>
      <c r="K21" s="89">
        <f t="shared" si="1"/>
        <v>1511366.4</v>
      </c>
      <c r="L21" s="85">
        <f t="shared" si="2"/>
        <v>995202</v>
      </c>
      <c r="M21" s="85">
        <f t="shared" si="3"/>
        <v>378176.76</v>
      </c>
      <c r="N21" s="89">
        <f t="shared" si="4"/>
        <v>4976010</v>
      </c>
      <c r="O21" s="89">
        <f t="shared" si="5"/>
        <v>1890883.8</v>
      </c>
      <c r="P21" s="89">
        <f t="shared" si="6"/>
        <v>1492803</v>
      </c>
      <c r="Q21" s="89">
        <f t="shared" si="7"/>
        <v>567265.14</v>
      </c>
      <c r="R21" s="89">
        <f t="shared" si="8"/>
        <v>1990404</v>
      </c>
      <c r="S21" s="89">
        <f t="shared" si="9"/>
        <v>756353.52</v>
      </c>
      <c r="T21" s="89">
        <f t="shared" si="10"/>
        <v>2488005</v>
      </c>
      <c r="U21" s="89">
        <f t="shared" si="11"/>
        <v>945441.9</v>
      </c>
    </row>
    <row r="22" spans="1:21" ht="46.5" customHeight="1">
      <c r="A22" s="25">
        <v>18</v>
      </c>
      <c r="B22" s="169" t="s">
        <v>76</v>
      </c>
      <c r="C22" s="164">
        <v>26151</v>
      </c>
      <c r="D22" s="164">
        <v>22528</v>
      </c>
      <c r="E22" s="164">
        <v>807</v>
      </c>
      <c r="F22" s="171">
        <v>83265.75</v>
      </c>
      <c r="G22" s="44">
        <v>349033</v>
      </c>
      <c r="H22" s="26">
        <v>6.7500000000000004E-2</v>
      </c>
      <c r="I22" s="44">
        <f t="shared" si="0"/>
        <v>23559.727500000001</v>
      </c>
      <c r="J22" s="60">
        <v>8006267</v>
      </c>
      <c r="K22" s="89">
        <f t="shared" si="1"/>
        <v>540423.02250000008</v>
      </c>
      <c r="L22" s="85">
        <f t="shared" si="2"/>
        <v>1998378</v>
      </c>
      <c r="M22" s="85">
        <f t="shared" si="3"/>
        <v>134890.51500000001</v>
      </c>
      <c r="N22" s="89">
        <f t="shared" si="4"/>
        <v>9991890</v>
      </c>
      <c r="O22" s="89">
        <f t="shared" si="5"/>
        <v>674452.57500000007</v>
      </c>
      <c r="P22" s="89">
        <f t="shared" si="6"/>
        <v>2997567</v>
      </c>
      <c r="Q22" s="89">
        <f t="shared" si="7"/>
        <v>202335.77250000002</v>
      </c>
      <c r="R22" s="89">
        <f t="shared" si="8"/>
        <v>3996756</v>
      </c>
      <c r="S22" s="89">
        <f t="shared" si="9"/>
        <v>269781.03000000003</v>
      </c>
      <c r="T22" s="89">
        <f t="shared" si="10"/>
        <v>4995945</v>
      </c>
      <c r="U22" s="89">
        <f t="shared" si="11"/>
        <v>337226.28750000003</v>
      </c>
    </row>
    <row r="23" spans="1:21" ht="46.5" customHeight="1">
      <c r="A23" s="25">
        <v>19</v>
      </c>
      <c r="B23" s="169" t="s">
        <v>79</v>
      </c>
      <c r="C23" s="164">
        <v>19963</v>
      </c>
      <c r="D23" s="164">
        <v>12683</v>
      </c>
      <c r="E23" s="164"/>
      <c r="F23" s="171">
        <v>34770.75</v>
      </c>
      <c r="G23" s="44">
        <v>175477</v>
      </c>
      <c r="H23" s="34">
        <v>0.06</v>
      </c>
      <c r="I23" s="44">
        <f t="shared" si="0"/>
        <v>10528.619999999999</v>
      </c>
      <c r="J23" s="60">
        <v>26299788</v>
      </c>
      <c r="K23" s="89">
        <f t="shared" si="1"/>
        <v>1577987.28</v>
      </c>
      <c r="L23" s="85">
        <f t="shared" si="2"/>
        <v>834498</v>
      </c>
      <c r="M23" s="85">
        <f t="shared" si="3"/>
        <v>50069.88</v>
      </c>
      <c r="N23" s="89">
        <f t="shared" si="4"/>
        <v>4172490</v>
      </c>
      <c r="O23" s="89">
        <f t="shared" si="5"/>
        <v>250349.4</v>
      </c>
      <c r="P23" s="89">
        <f t="shared" si="6"/>
        <v>1251747</v>
      </c>
      <c r="Q23" s="89">
        <f t="shared" si="7"/>
        <v>75104.819999999992</v>
      </c>
      <c r="R23" s="89">
        <f t="shared" si="8"/>
        <v>1668996</v>
      </c>
      <c r="S23" s="89">
        <f t="shared" si="9"/>
        <v>100139.76</v>
      </c>
      <c r="T23" s="89">
        <f t="shared" si="10"/>
        <v>2086245</v>
      </c>
      <c r="U23" s="89">
        <f t="shared" si="11"/>
        <v>125174.7</v>
      </c>
    </row>
    <row r="24" spans="1:21" ht="46.5" customHeight="1">
      <c r="A24" s="25">
        <v>20</v>
      </c>
      <c r="B24" s="169" t="s">
        <v>82</v>
      </c>
      <c r="C24" s="164">
        <v>23981</v>
      </c>
      <c r="D24" s="164">
        <v>16984</v>
      </c>
      <c r="E24" s="164">
        <v>1071</v>
      </c>
      <c r="F24" s="171">
        <v>35194.75</v>
      </c>
      <c r="G24" s="44">
        <v>206589</v>
      </c>
      <c r="H24" s="35">
        <v>0.14899999999999999</v>
      </c>
      <c r="I24" s="44">
        <f t="shared" si="0"/>
        <v>30781.760999999999</v>
      </c>
      <c r="J24" s="60">
        <v>5426400</v>
      </c>
      <c r="K24" s="89">
        <f t="shared" si="1"/>
        <v>808533.6</v>
      </c>
      <c r="L24" s="85">
        <f t="shared" si="2"/>
        <v>844674</v>
      </c>
      <c r="M24" s="85">
        <f t="shared" si="3"/>
        <v>125856.42599999999</v>
      </c>
      <c r="N24" s="89">
        <f t="shared" si="4"/>
        <v>4223370</v>
      </c>
      <c r="O24" s="89">
        <f t="shared" si="5"/>
        <v>629282.13</v>
      </c>
      <c r="P24" s="89">
        <f t="shared" si="6"/>
        <v>1267011</v>
      </c>
      <c r="Q24" s="89">
        <f t="shared" si="7"/>
        <v>188784.639</v>
      </c>
      <c r="R24" s="89">
        <f t="shared" si="8"/>
        <v>1689348</v>
      </c>
      <c r="S24" s="89">
        <f t="shared" si="9"/>
        <v>251712.85199999998</v>
      </c>
      <c r="T24" s="89">
        <f t="shared" si="10"/>
        <v>2111685</v>
      </c>
      <c r="U24" s="89">
        <f t="shared" si="11"/>
        <v>314641.065</v>
      </c>
    </row>
    <row r="25" spans="1:21" ht="46.5" customHeight="1">
      <c r="A25" s="25">
        <v>22</v>
      </c>
      <c r="B25" s="169" t="s">
        <v>84</v>
      </c>
      <c r="C25" s="164">
        <v>73281</v>
      </c>
      <c r="D25" s="164">
        <v>53599</v>
      </c>
      <c r="E25" s="164">
        <v>2713</v>
      </c>
      <c r="F25" s="171">
        <v>132485.75</v>
      </c>
      <c r="G25" s="44">
        <v>779542</v>
      </c>
      <c r="H25" s="34">
        <v>7.2099999999999997E-2</v>
      </c>
      <c r="I25" s="44">
        <f t="shared" si="0"/>
        <v>56204.978199999998</v>
      </c>
      <c r="J25" s="60">
        <v>46703500</v>
      </c>
      <c r="K25" s="89">
        <f t="shared" si="1"/>
        <v>3367322.35</v>
      </c>
      <c r="L25" s="85">
        <f t="shared" si="2"/>
        <v>3179658</v>
      </c>
      <c r="M25" s="85">
        <f t="shared" si="3"/>
        <v>229253.34179999999</v>
      </c>
      <c r="N25" s="89">
        <f t="shared" si="4"/>
        <v>15898290</v>
      </c>
      <c r="O25" s="89">
        <f t="shared" si="5"/>
        <v>1146266.709</v>
      </c>
      <c r="P25" s="89">
        <f t="shared" si="6"/>
        <v>4769487</v>
      </c>
      <c r="Q25" s="89">
        <f t="shared" si="7"/>
        <v>343880.01269999996</v>
      </c>
      <c r="R25" s="89">
        <f t="shared" si="8"/>
        <v>6359316</v>
      </c>
      <c r="S25" s="89">
        <f t="shared" si="9"/>
        <v>458506.68359999999</v>
      </c>
      <c r="T25" s="89">
        <f t="shared" si="10"/>
        <v>7949145</v>
      </c>
      <c r="U25" s="89">
        <f t="shared" si="11"/>
        <v>573133.35450000002</v>
      </c>
    </row>
    <row r="26" spans="1:21" ht="46.5" customHeight="1">
      <c r="A26" s="25">
        <v>23</v>
      </c>
      <c r="B26" s="169" t="s">
        <v>87</v>
      </c>
      <c r="C26" s="164">
        <v>11968</v>
      </c>
      <c r="D26" s="164">
        <v>8018</v>
      </c>
      <c r="E26" s="164">
        <v>773</v>
      </c>
      <c r="F26" s="171">
        <v>21529.5</v>
      </c>
      <c r="G26" s="44">
        <v>122207</v>
      </c>
      <c r="H26" s="34">
        <v>0.08</v>
      </c>
      <c r="I26" s="44">
        <f t="shared" si="0"/>
        <v>9776.56</v>
      </c>
      <c r="J26" s="60">
        <v>10563700</v>
      </c>
      <c r="K26" s="89">
        <f t="shared" si="1"/>
        <v>845096</v>
      </c>
      <c r="L26" s="85">
        <f t="shared" si="2"/>
        <v>516708</v>
      </c>
      <c r="M26" s="85">
        <f t="shared" si="3"/>
        <v>41336.639999999999</v>
      </c>
      <c r="N26" s="89">
        <f t="shared" si="4"/>
        <v>2583540</v>
      </c>
      <c r="O26" s="89">
        <f t="shared" si="5"/>
        <v>206683.2</v>
      </c>
      <c r="P26" s="89">
        <f t="shared" si="6"/>
        <v>775062</v>
      </c>
      <c r="Q26" s="89">
        <f t="shared" si="7"/>
        <v>62004.959999999999</v>
      </c>
      <c r="R26" s="89">
        <f t="shared" si="8"/>
        <v>1033416</v>
      </c>
      <c r="S26" s="89">
        <f t="shared" si="9"/>
        <v>82673.279999999999</v>
      </c>
      <c r="T26" s="89">
        <f t="shared" si="10"/>
        <v>1291770</v>
      </c>
      <c r="U26" s="89">
        <f t="shared" si="11"/>
        <v>103341.6</v>
      </c>
    </row>
    <row r="27" spans="1:21">
      <c r="I27" s="19">
        <f>SUM(I5:I26)</f>
        <v>1921641.6869627002</v>
      </c>
      <c r="J27" s="19"/>
      <c r="K27" s="186">
        <f t="shared" ref="K27:U27" si="12">SUM(K5:K26)</f>
        <v>15706895.3344936</v>
      </c>
      <c r="L27" s="19"/>
      <c r="M27" s="186">
        <f t="shared" si="12"/>
        <v>3712676.4181944006</v>
      </c>
      <c r="N27" s="19"/>
      <c r="O27" s="186">
        <f t="shared" si="12"/>
        <v>18563382.090971995</v>
      </c>
      <c r="P27" s="19"/>
      <c r="Q27" s="186">
        <f t="shared" si="12"/>
        <v>5569014.6272916002</v>
      </c>
      <c r="R27" s="19"/>
      <c r="S27" s="186">
        <f t="shared" si="12"/>
        <v>7425352.8363888012</v>
      </c>
      <c r="T27" s="19"/>
      <c r="U27" s="186">
        <f t="shared" si="12"/>
        <v>9281691.0454859976</v>
      </c>
    </row>
  </sheetData>
  <mergeCells count="1">
    <mergeCell ref="A5:A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2"/>
  <sheetViews>
    <sheetView workbookViewId="0">
      <selection activeCell="C1" sqref="C1:E1"/>
    </sheetView>
  </sheetViews>
  <sheetFormatPr defaultRowHeight="15"/>
  <cols>
    <col min="1" max="1" width="5.85546875" style="78" customWidth="1"/>
    <col min="2" max="12" width="15.5703125" style="79" customWidth="1"/>
    <col min="13" max="13" width="20.7109375" style="79" customWidth="1"/>
    <col min="14" max="14" width="16.85546875" style="79" bestFit="1" customWidth="1"/>
    <col min="15" max="15" width="20.7109375" style="79" customWidth="1"/>
    <col min="16" max="16" width="16.85546875" style="79" bestFit="1" customWidth="1"/>
    <col min="17" max="17" width="20.7109375" style="79" customWidth="1"/>
    <col min="18" max="18" width="16.85546875" style="79" bestFit="1" customWidth="1"/>
    <col min="19" max="19" width="20.7109375" style="79" customWidth="1"/>
    <col min="20" max="20" width="16.85546875" style="79" bestFit="1" customWidth="1"/>
    <col min="21" max="21" width="20.7109375" style="79" customWidth="1"/>
    <col min="22" max="22" width="16.85546875" style="79" bestFit="1" customWidth="1"/>
  </cols>
  <sheetData>
    <row r="1" spans="1:22" ht="43.5" customHeight="1">
      <c r="A1" s="64" t="s">
        <v>0</v>
      </c>
      <c r="B1" s="65" t="s">
        <v>1</v>
      </c>
      <c r="C1" s="165" t="s">
        <v>208</v>
      </c>
      <c r="D1" s="165" t="s">
        <v>209</v>
      </c>
      <c r="E1" s="165" t="s">
        <v>210</v>
      </c>
      <c r="F1" s="65" t="s">
        <v>207</v>
      </c>
      <c r="G1" s="66" t="s">
        <v>153</v>
      </c>
      <c r="H1" s="66" t="s">
        <v>154</v>
      </c>
      <c r="I1" s="66" t="s">
        <v>155</v>
      </c>
      <c r="J1" s="66" t="s">
        <v>156</v>
      </c>
      <c r="K1" s="66" t="s">
        <v>157</v>
      </c>
      <c r="L1" s="66" t="s">
        <v>158</v>
      </c>
      <c r="M1" s="67" t="s">
        <v>159</v>
      </c>
      <c r="N1" s="66" t="s">
        <v>160</v>
      </c>
      <c r="O1" s="67" t="s">
        <v>161</v>
      </c>
      <c r="P1" s="66" t="s">
        <v>162</v>
      </c>
      <c r="Q1" s="67" t="s">
        <v>180</v>
      </c>
      <c r="R1" s="66" t="s">
        <v>174</v>
      </c>
      <c r="S1" s="67" t="s">
        <v>181</v>
      </c>
      <c r="T1" s="66" t="s">
        <v>173</v>
      </c>
      <c r="U1" s="67" t="s">
        <v>182</v>
      </c>
      <c r="V1" s="66" t="s">
        <v>172</v>
      </c>
    </row>
    <row r="2" spans="1:22" hidden="1">
      <c r="A2" s="64"/>
      <c r="B2" s="65"/>
      <c r="C2" s="65"/>
      <c r="D2" s="65"/>
      <c r="E2" s="65"/>
      <c r="F2" s="65"/>
      <c r="G2" s="66"/>
      <c r="H2" s="66"/>
      <c r="I2" s="66"/>
      <c r="J2" s="66"/>
      <c r="K2" s="66"/>
      <c r="L2" s="66"/>
      <c r="M2" s="66">
        <v>2</v>
      </c>
      <c r="N2" s="66"/>
      <c r="O2" s="66">
        <v>10</v>
      </c>
      <c r="P2" s="66"/>
      <c r="Q2" s="66">
        <v>3</v>
      </c>
      <c r="R2" s="66"/>
      <c r="S2" s="66">
        <v>4</v>
      </c>
      <c r="T2" s="66"/>
      <c r="U2" s="66">
        <v>5</v>
      </c>
      <c r="V2" s="66"/>
    </row>
    <row r="3" spans="1:22" hidden="1">
      <c r="A3" s="64"/>
      <c r="B3" s="65"/>
      <c r="C3" s="65"/>
      <c r="D3" s="65"/>
      <c r="E3" s="65"/>
      <c r="F3" s="65"/>
      <c r="G3" s="66"/>
      <c r="H3" s="66"/>
      <c r="I3" s="66"/>
      <c r="J3" s="66"/>
      <c r="K3" s="66"/>
      <c r="L3" s="66"/>
      <c r="M3" s="66">
        <v>12</v>
      </c>
      <c r="N3" s="66"/>
      <c r="O3" s="66">
        <v>12</v>
      </c>
      <c r="P3" s="66"/>
      <c r="Q3" s="66">
        <v>12</v>
      </c>
      <c r="R3" s="66"/>
      <c r="S3" s="66">
        <v>12</v>
      </c>
      <c r="T3" s="66"/>
      <c r="U3" s="66">
        <v>12</v>
      </c>
      <c r="V3" s="66"/>
    </row>
    <row r="4" spans="1:22" ht="24.75">
      <c r="A4" s="68">
        <v>35</v>
      </c>
      <c r="B4" s="69" t="s">
        <v>122</v>
      </c>
      <c r="C4" s="69">
        <v>17760</v>
      </c>
      <c r="D4" s="69">
        <v>17819</v>
      </c>
      <c r="E4" s="69">
        <v>3753</v>
      </c>
      <c r="F4" s="69">
        <v>809</v>
      </c>
      <c r="G4" s="16">
        <v>40550</v>
      </c>
      <c r="H4" s="70">
        <v>237362</v>
      </c>
      <c r="I4" s="71">
        <v>0.57999999999999996</v>
      </c>
      <c r="J4" s="71">
        <f>H4*I4</f>
        <v>137669.96</v>
      </c>
      <c r="K4" s="16">
        <v>1168000</v>
      </c>
      <c r="L4" s="16">
        <f>K4*I4</f>
        <v>677440</v>
      </c>
      <c r="M4" s="16">
        <f>G4*$M$2*$M$3</f>
        <v>973200</v>
      </c>
      <c r="N4" s="16">
        <f>M4*I4</f>
        <v>564456</v>
      </c>
      <c r="O4" s="16">
        <f>G4*$O$2*$O$3</f>
        <v>4866000</v>
      </c>
      <c r="P4" s="16">
        <f>O4*I4</f>
        <v>2822280</v>
      </c>
      <c r="Q4" s="16">
        <f>G4*$Q$2*$Q$3</f>
        <v>1459800</v>
      </c>
      <c r="R4" s="16">
        <f>Q4*I4</f>
        <v>846683.99999999988</v>
      </c>
      <c r="S4" s="16">
        <f>G4*$S$2*$S$3</f>
        <v>1946400</v>
      </c>
      <c r="T4" s="16">
        <f>S4*I4</f>
        <v>1128912</v>
      </c>
      <c r="U4" s="16">
        <f>G4*$U$2*$U$3</f>
        <v>2433000</v>
      </c>
      <c r="V4" s="16">
        <f>U4*I4</f>
        <v>1411140</v>
      </c>
    </row>
    <row r="5" spans="1:22" ht="48.75">
      <c r="A5" s="72">
        <v>36</v>
      </c>
      <c r="B5" s="69" t="s">
        <v>124</v>
      </c>
      <c r="C5" s="69">
        <v>4016</v>
      </c>
      <c r="D5" s="69">
        <v>7427</v>
      </c>
      <c r="E5" s="69">
        <v>1225</v>
      </c>
      <c r="F5" s="69">
        <v>329</v>
      </c>
      <c r="G5" s="16">
        <v>13492</v>
      </c>
      <c r="H5" s="70">
        <v>76923</v>
      </c>
      <c r="I5" s="71">
        <v>0.39</v>
      </c>
      <c r="J5" s="71">
        <f t="shared" ref="J5:J11" si="0">H5*I5</f>
        <v>29999.97</v>
      </c>
      <c r="K5" s="16">
        <v>584000</v>
      </c>
      <c r="L5" s="16">
        <f t="shared" ref="L5:L11" si="1">K5*I5</f>
        <v>227760</v>
      </c>
      <c r="M5" s="16">
        <f t="shared" ref="M5:M11" si="2">G5*$M$2*$M$3</f>
        <v>323808</v>
      </c>
      <c r="N5" s="16">
        <f t="shared" ref="N5:N11" si="3">M5*I5</f>
        <v>126285.12000000001</v>
      </c>
      <c r="O5" s="16">
        <f t="shared" ref="O5:O11" si="4">G5*$O$2*$O$3</f>
        <v>1619040</v>
      </c>
      <c r="P5" s="16">
        <f t="shared" ref="P5:P11" si="5">O5*I5</f>
        <v>631425.6</v>
      </c>
      <c r="Q5" s="16">
        <f t="shared" ref="Q5:Q11" si="6">G5*$Q$2*$Q$3</f>
        <v>485712</v>
      </c>
      <c r="R5" s="16">
        <f t="shared" ref="R5:R11" si="7">Q5*I5</f>
        <v>189427.68</v>
      </c>
      <c r="S5" s="16">
        <f t="shared" ref="S5:S11" si="8">G5*$S$2*$S$3</f>
        <v>647616</v>
      </c>
      <c r="T5" s="16">
        <f t="shared" ref="T5:T11" si="9">S5*I5</f>
        <v>252570.24000000002</v>
      </c>
      <c r="U5" s="16">
        <f t="shared" ref="U5:U11" si="10">G5*$U$2*$U$3</f>
        <v>809520</v>
      </c>
      <c r="V5" s="16">
        <f t="shared" ref="V5:V11" si="11">U5*I5</f>
        <v>315712.8</v>
      </c>
    </row>
    <row r="6" spans="1:22" ht="24.75">
      <c r="A6" s="73">
        <v>37</v>
      </c>
      <c r="B6" s="74" t="s">
        <v>126</v>
      </c>
      <c r="C6" s="74">
        <v>10153</v>
      </c>
      <c r="D6" s="74">
        <v>457</v>
      </c>
      <c r="E6" s="74">
        <v>2615</v>
      </c>
      <c r="F6" s="74">
        <v>664</v>
      </c>
      <c r="G6" s="16">
        <v>13798</v>
      </c>
      <c r="H6" s="70">
        <v>85554</v>
      </c>
      <c r="I6" s="75">
        <v>0.70299999999999996</v>
      </c>
      <c r="J6" s="71">
        <f t="shared" si="0"/>
        <v>60144.462</v>
      </c>
      <c r="K6" s="16">
        <v>4263200</v>
      </c>
      <c r="L6" s="16">
        <f t="shared" si="1"/>
        <v>2997029.5999999996</v>
      </c>
      <c r="M6" s="16">
        <f t="shared" si="2"/>
        <v>331152</v>
      </c>
      <c r="N6" s="16">
        <f t="shared" si="3"/>
        <v>232799.856</v>
      </c>
      <c r="O6" s="16">
        <f t="shared" si="4"/>
        <v>1655760</v>
      </c>
      <c r="P6" s="16">
        <f t="shared" si="5"/>
        <v>1163999.28</v>
      </c>
      <c r="Q6" s="16">
        <f t="shared" si="6"/>
        <v>496728</v>
      </c>
      <c r="R6" s="16">
        <f t="shared" si="7"/>
        <v>349199.78399999999</v>
      </c>
      <c r="S6" s="16">
        <f t="shared" si="8"/>
        <v>662304</v>
      </c>
      <c r="T6" s="16">
        <f t="shared" si="9"/>
        <v>465599.712</v>
      </c>
      <c r="U6" s="16">
        <f t="shared" si="10"/>
        <v>827880</v>
      </c>
      <c r="V6" s="16">
        <f t="shared" si="11"/>
        <v>581999.64</v>
      </c>
    </row>
    <row r="7" spans="1:22" ht="24.75">
      <c r="A7" s="76">
        <v>38</v>
      </c>
      <c r="B7" s="74" t="s">
        <v>129</v>
      </c>
      <c r="C7" s="74">
        <v>25639</v>
      </c>
      <c r="D7" s="74">
        <v>2456</v>
      </c>
      <c r="E7" s="74">
        <v>4252</v>
      </c>
      <c r="F7" s="74">
        <v>353</v>
      </c>
      <c r="G7" s="16">
        <v>34072</v>
      </c>
      <c r="H7" s="70">
        <v>205426</v>
      </c>
      <c r="I7" s="77">
        <v>6.9599999999999995E-2</v>
      </c>
      <c r="J7" s="71">
        <f t="shared" si="0"/>
        <v>14297.649599999999</v>
      </c>
      <c r="K7" s="16">
        <v>2518500</v>
      </c>
      <c r="L7" s="16">
        <f t="shared" si="1"/>
        <v>175287.59999999998</v>
      </c>
      <c r="M7" s="16">
        <f t="shared" si="2"/>
        <v>817728</v>
      </c>
      <c r="N7" s="16">
        <f t="shared" si="3"/>
        <v>56913.868799999997</v>
      </c>
      <c r="O7" s="16">
        <f t="shared" si="4"/>
        <v>4088640</v>
      </c>
      <c r="P7" s="16">
        <f t="shared" si="5"/>
        <v>284569.34399999998</v>
      </c>
      <c r="Q7" s="16">
        <f t="shared" si="6"/>
        <v>1226592</v>
      </c>
      <c r="R7" s="16">
        <f t="shared" si="7"/>
        <v>85370.803199999995</v>
      </c>
      <c r="S7" s="16">
        <f t="shared" si="8"/>
        <v>1635456</v>
      </c>
      <c r="T7" s="16">
        <f t="shared" si="9"/>
        <v>113827.73759999999</v>
      </c>
      <c r="U7" s="16">
        <f t="shared" si="10"/>
        <v>2044320</v>
      </c>
      <c r="V7" s="16">
        <f t="shared" si="11"/>
        <v>142284.67199999999</v>
      </c>
    </row>
    <row r="8" spans="1:22" ht="24.75">
      <c r="A8" s="73">
        <v>39</v>
      </c>
      <c r="B8" s="74" t="s">
        <v>132</v>
      </c>
      <c r="C8" s="74">
        <v>4598</v>
      </c>
      <c r="D8" s="74">
        <v>135</v>
      </c>
      <c r="E8" s="74">
        <v>1582</v>
      </c>
      <c r="F8" s="74">
        <v>372</v>
      </c>
      <c r="G8" s="16">
        <v>5311</v>
      </c>
      <c r="H8" s="70">
        <v>30914</v>
      </c>
      <c r="I8" s="77">
        <f>0.0653*3.0274</f>
        <v>0.19768922</v>
      </c>
      <c r="J8" s="71">
        <f t="shared" si="0"/>
        <v>6111.3645470800002</v>
      </c>
      <c r="K8" s="16">
        <v>584000</v>
      </c>
      <c r="L8" s="16">
        <f t="shared" si="1"/>
        <v>115450.50448</v>
      </c>
      <c r="M8" s="16">
        <f t="shared" si="2"/>
        <v>127464</v>
      </c>
      <c r="N8" s="16">
        <f t="shared" si="3"/>
        <v>25198.25873808</v>
      </c>
      <c r="O8" s="16">
        <f t="shared" si="4"/>
        <v>637320</v>
      </c>
      <c r="P8" s="16">
        <f t="shared" si="5"/>
        <v>125991.29369039999</v>
      </c>
      <c r="Q8" s="16">
        <f t="shared" si="6"/>
        <v>191196</v>
      </c>
      <c r="R8" s="16">
        <f t="shared" si="7"/>
        <v>37797.388107120001</v>
      </c>
      <c r="S8" s="16">
        <f t="shared" si="8"/>
        <v>254928</v>
      </c>
      <c r="T8" s="16">
        <f t="shared" si="9"/>
        <v>50396.517476159999</v>
      </c>
      <c r="U8" s="16">
        <f t="shared" si="10"/>
        <v>318660</v>
      </c>
      <c r="V8" s="16">
        <f t="shared" si="11"/>
        <v>62995.646845199997</v>
      </c>
    </row>
    <row r="9" spans="1:22" ht="24.75">
      <c r="A9" s="76">
        <v>40</v>
      </c>
      <c r="B9" s="74" t="s">
        <v>135</v>
      </c>
      <c r="C9" s="74">
        <v>9605</v>
      </c>
      <c r="D9" s="74">
        <v>387</v>
      </c>
      <c r="E9" s="74">
        <v>4502</v>
      </c>
      <c r="F9" s="74">
        <v>424</v>
      </c>
      <c r="G9" s="16">
        <v>13476</v>
      </c>
      <c r="H9" s="70">
        <v>81500</v>
      </c>
      <c r="I9" s="77">
        <f>0.0911*3.0274</f>
        <v>0.27579614000000002</v>
      </c>
      <c r="J9" s="71">
        <f t="shared" si="0"/>
        <v>22477.385410000003</v>
      </c>
      <c r="K9" s="16">
        <v>2774000</v>
      </c>
      <c r="L9" s="16">
        <f t="shared" si="1"/>
        <v>765058.49236000003</v>
      </c>
      <c r="M9" s="16">
        <f t="shared" si="2"/>
        <v>323424</v>
      </c>
      <c r="N9" s="16">
        <f t="shared" si="3"/>
        <v>89199.090783360007</v>
      </c>
      <c r="O9" s="16">
        <f t="shared" si="4"/>
        <v>1617120</v>
      </c>
      <c r="P9" s="16">
        <f t="shared" si="5"/>
        <v>445995.45391680003</v>
      </c>
      <c r="Q9" s="16">
        <f t="shared" si="6"/>
        <v>485136</v>
      </c>
      <c r="R9" s="16">
        <f t="shared" si="7"/>
        <v>133798.63617504001</v>
      </c>
      <c r="S9" s="16">
        <f t="shared" si="8"/>
        <v>646848</v>
      </c>
      <c r="T9" s="16">
        <f t="shared" si="9"/>
        <v>178398.18156672001</v>
      </c>
      <c r="U9" s="16">
        <f t="shared" si="10"/>
        <v>808560</v>
      </c>
      <c r="V9" s="16">
        <f t="shared" si="11"/>
        <v>222997.72695840002</v>
      </c>
    </row>
    <row r="10" spans="1:22" ht="24.75">
      <c r="A10" s="73">
        <v>41</v>
      </c>
      <c r="B10" s="74" t="s">
        <v>137</v>
      </c>
      <c r="C10" s="74">
        <v>3521</v>
      </c>
      <c r="D10" s="74">
        <v>180</v>
      </c>
      <c r="E10" s="74">
        <v>1774</v>
      </c>
      <c r="F10" s="74">
        <v>451</v>
      </c>
      <c r="G10" s="16">
        <v>2032</v>
      </c>
      <c r="H10" s="70">
        <v>11536</v>
      </c>
      <c r="I10" s="77">
        <v>1.0943000000000001</v>
      </c>
      <c r="J10" s="71">
        <f t="shared" si="0"/>
        <v>12623.844800000001</v>
      </c>
      <c r="K10" s="16">
        <v>1022000</v>
      </c>
      <c r="L10" s="16">
        <f t="shared" si="1"/>
        <v>1118374.6000000001</v>
      </c>
      <c r="M10" s="16">
        <f t="shared" si="2"/>
        <v>48768</v>
      </c>
      <c r="N10" s="16">
        <f t="shared" si="3"/>
        <v>53366.822400000005</v>
      </c>
      <c r="O10" s="16">
        <f t="shared" si="4"/>
        <v>243840</v>
      </c>
      <c r="P10" s="16">
        <f t="shared" si="5"/>
        <v>266834.11200000002</v>
      </c>
      <c r="Q10" s="16">
        <f t="shared" si="6"/>
        <v>73152</v>
      </c>
      <c r="R10" s="16">
        <f t="shared" si="7"/>
        <v>80050.233600000007</v>
      </c>
      <c r="S10" s="16">
        <f t="shared" si="8"/>
        <v>97536</v>
      </c>
      <c r="T10" s="16">
        <f t="shared" si="9"/>
        <v>106733.64480000001</v>
      </c>
      <c r="U10" s="16">
        <f t="shared" si="10"/>
        <v>121920</v>
      </c>
      <c r="V10" s="16">
        <f t="shared" si="11"/>
        <v>133417.05600000001</v>
      </c>
    </row>
    <row r="11" spans="1:22" ht="24.75">
      <c r="A11" s="76">
        <v>42</v>
      </c>
      <c r="B11" s="74" t="s">
        <v>163</v>
      </c>
      <c r="C11" s="74">
        <v>1933</v>
      </c>
      <c r="D11" s="74">
        <v>104</v>
      </c>
      <c r="E11" s="74">
        <v>334</v>
      </c>
      <c r="F11" s="74">
        <v>135</v>
      </c>
      <c r="G11" s="16">
        <v>6297</v>
      </c>
      <c r="H11" s="70">
        <v>34420</v>
      </c>
      <c r="I11" s="71">
        <v>0.37</v>
      </c>
      <c r="J11" s="71">
        <f t="shared" si="0"/>
        <v>12735.4</v>
      </c>
      <c r="K11" s="16">
        <v>657000</v>
      </c>
      <c r="L11" s="16">
        <f t="shared" si="1"/>
        <v>243090</v>
      </c>
      <c r="M11" s="16">
        <f t="shared" si="2"/>
        <v>151128</v>
      </c>
      <c r="N11" s="16">
        <f t="shared" si="3"/>
        <v>55917.36</v>
      </c>
      <c r="O11" s="16">
        <f t="shared" si="4"/>
        <v>755640</v>
      </c>
      <c r="P11" s="16">
        <f t="shared" si="5"/>
        <v>279586.8</v>
      </c>
      <c r="Q11" s="16">
        <f t="shared" si="6"/>
        <v>226692</v>
      </c>
      <c r="R11" s="16">
        <f t="shared" si="7"/>
        <v>83876.039999999994</v>
      </c>
      <c r="S11" s="16">
        <f t="shared" si="8"/>
        <v>302256</v>
      </c>
      <c r="T11" s="16">
        <f t="shared" si="9"/>
        <v>111834.72</v>
      </c>
      <c r="U11" s="16">
        <f t="shared" si="10"/>
        <v>377820</v>
      </c>
      <c r="V11" s="16">
        <f t="shared" si="11"/>
        <v>139793.4</v>
      </c>
    </row>
    <row r="12" spans="1:22">
      <c r="J12" s="80">
        <f>SUM(J4:J11)</f>
        <v>296060.03635708004</v>
      </c>
      <c r="L12" s="81">
        <f>SUM(L4:L11)</f>
        <v>6319490.796839999</v>
      </c>
      <c r="M12" s="81"/>
      <c r="N12" s="81">
        <f>SUM(N4:N11)</f>
        <v>1204136.3767214401</v>
      </c>
      <c r="O12" s="81"/>
      <c r="P12" s="81">
        <f>SUM(P4:P11)</f>
        <v>6020681.8836071994</v>
      </c>
      <c r="Q12" s="81"/>
      <c r="R12" s="81">
        <f>SUM(R4:R11)</f>
        <v>1806204.5650821598</v>
      </c>
      <c r="S12" s="81"/>
      <c r="T12" s="81">
        <f>SUM(T4:T11)</f>
        <v>2408272.7534428802</v>
      </c>
      <c r="U12" s="81"/>
      <c r="V12" s="81">
        <f>SUM(V4:V11)</f>
        <v>3010340.9418035997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2"/>
  <sheetViews>
    <sheetView workbookViewId="0">
      <selection activeCell="C2" sqref="C2:E2"/>
    </sheetView>
  </sheetViews>
  <sheetFormatPr defaultRowHeight="15"/>
  <cols>
    <col min="1" max="1" width="4" style="9" customWidth="1"/>
    <col min="2" max="5" width="24.42578125" style="9" customWidth="1"/>
    <col min="6" max="6" width="17.85546875" style="13" bestFit="1" customWidth="1"/>
    <col min="7" max="7" width="18.140625" style="13" customWidth="1"/>
    <col min="8" max="8" width="18.140625" style="11" customWidth="1"/>
    <col min="9" max="9" width="18.140625" style="88" customWidth="1"/>
    <col min="10" max="10" width="20.5703125" style="9" customWidth="1"/>
    <col min="11" max="11" width="14.140625" style="83" customWidth="1"/>
    <col min="12" max="12" width="15.7109375" style="53" customWidth="1"/>
    <col min="13" max="13" width="14.5703125" style="83" customWidth="1"/>
    <col min="14" max="14" width="16.140625" style="58" customWidth="1"/>
    <col min="15" max="15" width="14.85546875" style="58" customWidth="1"/>
    <col min="16" max="16" width="16.140625" style="58" customWidth="1"/>
    <col min="17" max="17" width="14.85546875" style="58" customWidth="1"/>
    <col min="18" max="18" width="16.140625" style="58" customWidth="1"/>
    <col min="19" max="19" width="14.85546875" style="58" customWidth="1"/>
    <col min="20" max="20" width="16.140625" style="58" customWidth="1"/>
    <col min="21" max="21" width="14.85546875" style="58" customWidth="1"/>
    <col min="22" max="154" width="9.140625" style="9"/>
    <col min="155" max="155" width="4" style="9" customWidth="1"/>
    <col min="156" max="156" width="24.42578125" style="9" customWidth="1"/>
    <col min="157" max="157" width="19.85546875" style="9" customWidth="1"/>
    <col min="158" max="158" width="9.28515625" style="9" customWidth="1"/>
    <col min="159" max="159" width="10" style="9" customWidth="1"/>
    <col min="160" max="160" width="8.42578125" style="9" customWidth="1"/>
    <col min="161" max="161" width="12.28515625" style="9" customWidth="1"/>
    <col min="162" max="162" width="7.5703125" style="9" customWidth="1"/>
    <col min="163" max="163" width="7.85546875" style="9" customWidth="1"/>
    <col min="164" max="164" width="8.28515625" style="9" customWidth="1"/>
    <col min="165" max="165" width="9.140625" style="9"/>
    <col min="166" max="168" width="7.5703125" style="9" customWidth="1"/>
    <col min="169" max="169" width="10.28515625" style="9" customWidth="1"/>
    <col min="170" max="170" width="10.5703125" style="9" customWidth="1"/>
    <col min="171" max="171" width="11.140625" style="9" customWidth="1"/>
    <col min="172" max="172" width="10.42578125" style="9" customWidth="1"/>
    <col min="173" max="182" width="11" style="9" customWidth="1"/>
    <col min="183" max="183" width="9.140625" style="9" customWidth="1"/>
    <col min="184" max="184" width="6.85546875" style="9" customWidth="1"/>
    <col min="185" max="185" width="15" style="9" bestFit="1" customWidth="1"/>
    <col min="186" max="410" width="9.140625" style="9"/>
    <col min="411" max="411" width="4" style="9" customWidth="1"/>
    <col min="412" max="412" width="24.42578125" style="9" customWidth="1"/>
    <col min="413" max="413" width="19.85546875" style="9" customWidth="1"/>
    <col min="414" max="414" width="9.28515625" style="9" customWidth="1"/>
    <col min="415" max="415" width="10" style="9" customWidth="1"/>
    <col min="416" max="416" width="8.42578125" style="9" customWidth="1"/>
    <col min="417" max="417" width="12.28515625" style="9" customWidth="1"/>
    <col min="418" max="418" width="7.5703125" style="9" customWidth="1"/>
    <col min="419" max="419" width="7.85546875" style="9" customWidth="1"/>
    <col min="420" max="420" width="8.28515625" style="9" customWidth="1"/>
    <col min="421" max="421" width="9.140625" style="9"/>
    <col min="422" max="424" width="7.5703125" style="9" customWidth="1"/>
    <col min="425" max="425" width="10.28515625" style="9" customWidth="1"/>
    <col min="426" max="426" width="10.5703125" style="9" customWidth="1"/>
    <col min="427" max="427" width="11.140625" style="9" customWidth="1"/>
    <col min="428" max="428" width="10.42578125" style="9" customWidth="1"/>
    <col min="429" max="438" width="11" style="9" customWidth="1"/>
    <col min="439" max="439" width="9.140625" style="9" customWidth="1"/>
    <col min="440" max="440" width="6.85546875" style="9" customWidth="1"/>
    <col min="441" max="441" width="15" style="9" bestFit="1" customWidth="1"/>
    <col min="442" max="666" width="9.140625" style="9"/>
    <col min="667" max="667" width="4" style="9" customWidth="1"/>
    <col min="668" max="668" width="24.42578125" style="9" customWidth="1"/>
    <col min="669" max="669" width="19.85546875" style="9" customWidth="1"/>
    <col min="670" max="670" width="9.28515625" style="9" customWidth="1"/>
    <col min="671" max="671" width="10" style="9" customWidth="1"/>
    <col min="672" max="672" width="8.42578125" style="9" customWidth="1"/>
    <col min="673" max="673" width="12.28515625" style="9" customWidth="1"/>
    <col min="674" max="674" width="7.5703125" style="9" customWidth="1"/>
    <col min="675" max="675" width="7.85546875" style="9" customWidth="1"/>
    <col min="676" max="676" width="8.28515625" style="9" customWidth="1"/>
    <col min="677" max="677" width="9.140625" style="9"/>
    <col min="678" max="680" width="7.5703125" style="9" customWidth="1"/>
    <col min="681" max="681" width="10.28515625" style="9" customWidth="1"/>
    <col min="682" max="682" width="10.5703125" style="9" customWidth="1"/>
    <col min="683" max="683" width="11.140625" style="9" customWidth="1"/>
    <col min="684" max="684" width="10.42578125" style="9" customWidth="1"/>
    <col min="685" max="694" width="11" style="9" customWidth="1"/>
    <col min="695" max="695" width="9.140625" style="9" customWidth="1"/>
    <col min="696" max="696" width="6.85546875" style="9" customWidth="1"/>
    <col min="697" max="697" width="15" style="9" bestFit="1" customWidth="1"/>
    <col min="698" max="922" width="9.140625" style="9"/>
    <col min="923" max="923" width="4" style="9" customWidth="1"/>
    <col min="924" max="924" width="24.42578125" style="9" customWidth="1"/>
    <col min="925" max="925" width="19.85546875" style="9" customWidth="1"/>
    <col min="926" max="926" width="9.28515625" style="9" customWidth="1"/>
    <col min="927" max="927" width="10" style="9" customWidth="1"/>
    <col min="928" max="928" width="8.42578125" style="9" customWidth="1"/>
    <col min="929" max="929" width="12.28515625" style="9" customWidth="1"/>
    <col min="930" max="930" width="7.5703125" style="9" customWidth="1"/>
    <col min="931" max="931" width="7.85546875" style="9" customWidth="1"/>
    <col min="932" max="932" width="8.28515625" style="9" customWidth="1"/>
    <col min="933" max="933" width="9.140625" style="9"/>
    <col min="934" max="936" width="7.5703125" style="9" customWidth="1"/>
    <col min="937" max="937" width="10.28515625" style="9" customWidth="1"/>
    <col min="938" max="938" width="10.5703125" style="9" customWidth="1"/>
    <col min="939" max="939" width="11.140625" style="9" customWidth="1"/>
    <col min="940" max="940" width="10.42578125" style="9" customWidth="1"/>
    <col min="941" max="950" width="11" style="9" customWidth="1"/>
    <col min="951" max="951" width="9.140625" style="9" customWidth="1"/>
    <col min="952" max="952" width="6.85546875" style="9" customWidth="1"/>
    <col min="953" max="953" width="15" style="9" bestFit="1" customWidth="1"/>
    <col min="954" max="1178" width="9.140625" style="9"/>
    <col min="1179" max="1179" width="4" style="9" customWidth="1"/>
    <col min="1180" max="1180" width="24.42578125" style="9" customWidth="1"/>
    <col min="1181" max="1181" width="19.85546875" style="9" customWidth="1"/>
    <col min="1182" max="1182" width="9.28515625" style="9" customWidth="1"/>
    <col min="1183" max="1183" width="10" style="9" customWidth="1"/>
    <col min="1184" max="1184" width="8.42578125" style="9" customWidth="1"/>
    <col min="1185" max="1185" width="12.28515625" style="9" customWidth="1"/>
    <col min="1186" max="1186" width="7.5703125" style="9" customWidth="1"/>
    <col min="1187" max="1187" width="7.85546875" style="9" customWidth="1"/>
    <col min="1188" max="1188" width="8.28515625" style="9" customWidth="1"/>
    <col min="1189" max="1189" width="9.140625" style="9"/>
    <col min="1190" max="1192" width="7.5703125" style="9" customWidth="1"/>
    <col min="1193" max="1193" width="10.28515625" style="9" customWidth="1"/>
    <col min="1194" max="1194" width="10.5703125" style="9" customWidth="1"/>
    <col min="1195" max="1195" width="11.140625" style="9" customWidth="1"/>
    <col min="1196" max="1196" width="10.42578125" style="9" customWidth="1"/>
    <col min="1197" max="1206" width="11" style="9" customWidth="1"/>
    <col min="1207" max="1207" width="9.140625" style="9" customWidth="1"/>
    <col min="1208" max="1208" width="6.85546875" style="9" customWidth="1"/>
    <col min="1209" max="1209" width="15" style="9" bestFit="1" customWidth="1"/>
    <col min="1210" max="1434" width="9.140625" style="9"/>
    <col min="1435" max="1435" width="4" style="9" customWidth="1"/>
    <col min="1436" max="1436" width="24.42578125" style="9" customWidth="1"/>
    <col min="1437" max="1437" width="19.85546875" style="9" customWidth="1"/>
    <col min="1438" max="1438" width="9.28515625" style="9" customWidth="1"/>
    <col min="1439" max="1439" width="10" style="9" customWidth="1"/>
    <col min="1440" max="1440" width="8.42578125" style="9" customWidth="1"/>
    <col min="1441" max="1441" width="12.28515625" style="9" customWidth="1"/>
    <col min="1442" max="1442" width="7.5703125" style="9" customWidth="1"/>
    <col min="1443" max="1443" width="7.85546875" style="9" customWidth="1"/>
    <col min="1444" max="1444" width="8.28515625" style="9" customWidth="1"/>
    <col min="1445" max="1445" width="9.140625" style="9"/>
    <col min="1446" max="1448" width="7.5703125" style="9" customWidth="1"/>
    <col min="1449" max="1449" width="10.28515625" style="9" customWidth="1"/>
    <col min="1450" max="1450" width="10.5703125" style="9" customWidth="1"/>
    <col min="1451" max="1451" width="11.140625" style="9" customWidth="1"/>
    <col min="1452" max="1452" width="10.42578125" style="9" customWidth="1"/>
    <col min="1453" max="1462" width="11" style="9" customWidth="1"/>
    <col min="1463" max="1463" width="9.140625" style="9" customWidth="1"/>
    <col min="1464" max="1464" width="6.85546875" style="9" customWidth="1"/>
    <col min="1465" max="1465" width="15" style="9" bestFit="1" customWidth="1"/>
    <col min="1466" max="1690" width="9.140625" style="9"/>
    <col min="1691" max="1691" width="4" style="9" customWidth="1"/>
    <col min="1692" max="1692" width="24.42578125" style="9" customWidth="1"/>
    <col min="1693" max="1693" width="19.85546875" style="9" customWidth="1"/>
    <col min="1694" max="1694" width="9.28515625" style="9" customWidth="1"/>
    <col min="1695" max="1695" width="10" style="9" customWidth="1"/>
    <col min="1696" max="1696" width="8.42578125" style="9" customWidth="1"/>
    <col min="1697" max="1697" width="12.28515625" style="9" customWidth="1"/>
    <col min="1698" max="1698" width="7.5703125" style="9" customWidth="1"/>
    <col min="1699" max="1699" width="7.85546875" style="9" customWidth="1"/>
    <col min="1700" max="1700" width="8.28515625" style="9" customWidth="1"/>
    <col min="1701" max="1701" width="9.140625" style="9"/>
    <col min="1702" max="1704" width="7.5703125" style="9" customWidth="1"/>
    <col min="1705" max="1705" width="10.28515625" style="9" customWidth="1"/>
    <col min="1706" max="1706" width="10.5703125" style="9" customWidth="1"/>
    <col min="1707" max="1707" width="11.140625" style="9" customWidth="1"/>
    <col min="1708" max="1708" width="10.42578125" style="9" customWidth="1"/>
    <col min="1709" max="1718" width="11" style="9" customWidth="1"/>
    <col min="1719" max="1719" width="9.140625" style="9" customWidth="1"/>
    <col min="1720" max="1720" width="6.85546875" style="9" customWidth="1"/>
    <col min="1721" max="1721" width="15" style="9" bestFit="1" customWidth="1"/>
    <col min="1722" max="1946" width="9.140625" style="9"/>
    <col min="1947" max="1947" width="4" style="9" customWidth="1"/>
    <col min="1948" max="1948" width="24.42578125" style="9" customWidth="1"/>
    <col min="1949" max="1949" width="19.85546875" style="9" customWidth="1"/>
    <col min="1950" max="1950" width="9.28515625" style="9" customWidth="1"/>
    <col min="1951" max="1951" width="10" style="9" customWidth="1"/>
    <col min="1952" max="1952" width="8.42578125" style="9" customWidth="1"/>
    <col min="1953" max="1953" width="12.28515625" style="9" customWidth="1"/>
    <col min="1954" max="1954" width="7.5703125" style="9" customWidth="1"/>
    <col min="1955" max="1955" width="7.85546875" style="9" customWidth="1"/>
    <col min="1956" max="1956" width="8.28515625" style="9" customWidth="1"/>
    <col min="1957" max="1957" width="9.140625" style="9"/>
    <col min="1958" max="1960" width="7.5703125" style="9" customWidth="1"/>
    <col min="1961" max="1961" width="10.28515625" style="9" customWidth="1"/>
    <col min="1962" max="1962" width="10.5703125" style="9" customWidth="1"/>
    <col min="1963" max="1963" width="11.140625" style="9" customWidth="1"/>
    <col min="1964" max="1964" width="10.42578125" style="9" customWidth="1"/>
    <col min="1965" max="1974" width="11" style="9" customWidth="1"/>
    <col min="1975" max="1975" width="9.140625" style="9" customWidth="1"/>
    <col min="1976" max="1976" width="6.85546875" style="9" customWidth="1"/>
    <col min="1977" max="1977" width="15" style="9" bestFit="1" customWidth="1"/>
    <col min="1978" max="2202" width="9.140625" style="9"/>
    <col min="2203" max="2203" width="4" style="9" customWidth="1"/>
    <col min="2204" max="2204" width="24.42578125" style="9" customWidth="1"/>
    <col min="2205" max="2205" width="19.85546875" style="9" customWidth="1"/>
    <col min="2206" max="2206" width="9.28515625" style="9" customWidth="1"/>
    <col min="2207" max="2207" width="10" style="9" customWidth="1"/>
    <col min="2208" max="2208" width="8.42578125" style="9" customWidth="1"/>
    <col min="2209" max="2209" width="12.28515625" style="9" customWidth="1"/>
    <col min="2210" max="2210" width="7.5703125" style="9" customWidth="1"/>
    <col min="2211" max="2211" width="7.85546875" style="9" customWidth="1"/>
    <col min="2212" max="2212" width="8.28515625" style="9" customWidth="1"/>
    <col min="2213" max="2213" width="9.140625" style="9"/>
    <col min="2214" max="2216" width="7.5703125" style="9" customWidth="1"/>
    <col min="2217" max="2217" width="10.28515625" style="9" customWidth="1"/>
    <col min="2218" max="2218" width="10.5703125" style="9" customWidth="1"/>
    <col min="2219" max="2219" width="11.140625" style="9" customWidth="1"/>
    <col min="2220" max="2220" width="10.42578125" style="9" customWidth="1"/>
    <col min="2221" max="2230" width="11" style="9" customWidth="1"/>
    <col min="2231" max="2231" width="9.140625" style="9" customWidth="1"/>
    <col min="2232" max="2232" width="6.85546875" style="9" customWidth="1"/>
    <col min="2233" max="2233" width="15" style="9" bestFit="1" customWidth="1"/>
    <col min="2234" max="2458" width="9.140625" style="9"/>
    <col min="2459" max="2459" width="4" style="9" customWidth="1"/>
    <col min="2460" max="2460" width="24.42578125" style="9" customWidth="1"/>
    <col min="2461" max="2461" width="19.85546875" style="9" customWidth="1"/>
    <col min="2462" max="2462" width="9.28515625" style="9" customWidth="1"/>
    <col min="2463" max="2463" width="10" style="9" customWidth="1"/>
    <col min="2464" max="2464" width="8.42578125" style="9" customWidth="1"/>
    <col min="2465" max="2465" width="12.28515625" style="9" customWidth="1"/>
    <col min="2466" max="2466" width="7.5703125" style="9" customWidth="1"/>
    <col min="2467" max="2467" width="7.85546875" style="9" customWidth="1"/>
    <col min="2468" max="2468" width="8.28515625" style="9" customWidth="1"/>
    <col min="2469" max="2469" width="9.140625" style="9"/>
    <col min="2470" max="2472" width="7.5703125" style="9" customWidth="1"/>
    <col min="2473" max="2473" width="10.28515625" style="9" customWidth="1"/>
    <col min="2474" max="2474" width="10.5703125" style="9" customWidth="1"/>
    <col min="2475" max="2475" width="11.140625" style="9" customWidth="1"/>
    <col min="2476" max="2476" width="10.42578125" style="9" customWidth="1"/>
    <col min="2477" max="2486" width="11" style="9" customWidth="1"/>
    <col min="2487" max="2487" width="9.140625" style="9" customWidth="1"/>
    <col min="2488" max="2488" width="6.85546875" style="9" customWidth="1"/>
    <col min="2489" max="2489" width="15" style="9" bestFit="1" customWidth="1"/>
    <col min="2490" max="2714" width="9.140625" style="9"/>
    <col min="2715" max="2715" width="4" style="9" customWidth="1"/>
    <col min="2716" max="2716" width="24.42578125" style="9" customWidth="1"/>
    <col min="2717" max="2717" width="19.85546875" style="9" customWidth="1"/>
    <col min="2718" max="2718" width="9.28515625" style="9" customWidth="1"/>
    <col min="2719" max="2719" width="10" style="9" customWidth="1"/>
    <col min="2720" max="2720" width="8.42578125" style="9" customWidth="1"/>
    <col min="2721" max="2721" width="12.28515625" style="9" customWidth="1"/>
    <col min="2722" max="2722" width="7.5703125" style="9" customWidth="1"/>
    <col min="2723" max="2723" width="7.85546875" style="9" customWidth="1"/>
    <col min="2724" max="2724" width="8.28515625" style="9" customWidth="1"/>
    <col min="2725" max="2725" width="9.140625" style="9"/>
    <col min="2726" max="2728" width="7.5703125" style="9" customWidth="1"/>
    <col min="2729" max="2729" width="10.28515625" style="9" customWidth="1"/>
    <col min="2730" max="2730" width="10.5703125" style="9" customWidth="1"/>
    <col min="2731" max="2731" width="11.140625" style="9" customWidth="1"/>
    <col min="2732" max="2732" width="10.42578125" style="9" customWidth="1"/>
    <col min="2733" max="2742" width="11" style="9" customWidth="1"/>
    <col min="2743" max="2743" width="9.140625" style="9" customWidth="1"/>
    <col min="2744" max="2744" width="6.85546875" style="9" customWidth="1"/>
    <col min="2745" max="2745" width="15" style="9" bestFit="1" customWidth="1"/>
    <col min="2746" max="2970" width="9.140625" style="9"/>
    <col min="2971" max="2971" width="4" style="9" customWidth="1"/>
    <col min="2972" max="2972" width="24.42578125" style="9" customWidth="1"/>
    <col min="2973" max="2973" width="19.85546875" style="9" customWidth="1"/>
    <col min="2974" max="2974" width="9.28515625" style="9" customWidth="1"/>
    <col min="2975" max="2975" width="10" style="9" customWidth="1"/>
    <col min="2976" max="2976" width="8.42578125" style="9" customWidth="1"/>
    <col min="2977" max="2977" width="12.28515625" style="9" customWidth="1"/>
    <col min="2978" max="2978" width="7.5703125" style="9" customWidth="1"/>
    <col min="2979" max="2979" width="7.85546875" style="9" customWidth="1"/>
    <col min="2980" max="2980" width="8.28515625" style="9" customWidth="1"/>
    <col min="2981" max="2981" width="9.140625" style="9"/>
    <col min="2982" max="2984" width="7.5703125" style="9" customWidth="1"/>
    <col min="2985" max="2985" width="10.28515625" style="9" customWidth="1"/>
    <col min="2986" max="2986" width="10.5703125" style="9" customWidth="1"/>
    <col min="2987" max="2987" width="11.140625" style="9" customWidth="1"/>
    <col min="2988" max="2988" width="10.42578125" style="9" customWidth="1"/>
    <col min="2989" max="2998" width="11" style="9" customWidth="1"/>
    <col min="2999" max="2999" width="9.140625" style="9" customWidth="1"/>
    <col min="3000" max="3000" width="6.85546875" style="9" customWidth="1"/>
    <col min="3001" max="3001" width="15" style="9" bestFit="1" customWidth="1"/>
    <col min="3002" max="3226" width="9.140625" style="9"/>
    <col min="3227" max="3227" width="4" style="9" customWidth="1"/>
    <col min="3228" max="3228" width="24.42578125" style="9" customWidth="1"/>
    <col min="3229" max="3229" width="19.85546875" style="9" customWidth="1"/>
    <col min="3230" max="3230" width="9.28515625" style="9" customWidth="1"/>
    <col min="3231" max="3231" width="10" style="9" customWidth="1"/>
    <col min="3232" max="3232" width="8.42578125" style="9" customWidth="1"/>
    <col min="3233" max="3233" width="12.28515625" style="9" customWidth="1"/>
    <col min="3234" max="3234" width="7.5703125" style="9" customWidth="1"/>
    <col min="3235" max="3235" width="7.85546875" style="9" customWidth="1"/>
    <col min="3236" max="3236" width="8.28515625" style="9" customWidth="1"/>
    <col min="3237" max="3237" width="9.140625" style="9"/>
    <col min="3238" max="3240" width="7.5703125" style="9" customWidth="1"/>
    <col min="3241" max="3241" width="10.28515625" style="9" customWidth="1"/>
    <col min="3242" max="3242" width="10.5703125" style="9" customWidth="1"/>
    <col min="3243" max="3243" width="11.140625" style="9" customWidth="1"/>
    <col min="3244" max="3244" width="10.42578125" style="9" customWidth="1"/>
    <col min="3245" max="3254" width="11" style="9" customWidth="1"/>
    <col min="3255" max="3255" width="9.140625" style="9" customWidth="1"/>
    <col min="3256" max="3256" width="6.85546875" style="9" customWidth="1"/>
    <col min="3257" max="3257" width="15" style="9" bestFit="1" customWidth="1"/>
    <col min="3258" max="3482" width="9.140625" style="9"/>
    <col min="3483" max="3483" width="4" style="9" customWidth="1"/>
    <col min="3484" max="3484" width="24.42578125" style="9" customWidth="1"/>
    <col min="3485" max="3485" width="19.85546875" style="9" customWidth="1"/>
    <col min="3486" max="3486" width="9.28515625" style="9" customWidth="1"/>
    <col min="3487" max="3487" width="10" style="9" customWidth="1"/>
    <col min="3488" max="3488" width="8.42578125" style="9" customWidth="1"/>
    <col min="3489" max="3489" width="12.28515625" style="9" customWidth="1"/>
    <col min="3490" max="3490" width="7.5703125" style="9" customWidth="1"/>
    <col min="3491" max="3491" width="7.85546875" style="9" customWidth="1"/>
    <col min="3492" max="3492" width="8.28515625" style="9" customWidth="1"/>
    <col min="3493" max="3493" width="9.140625" style="9"/>
    <col min="3494" max="3496" width="7.5703125" style="9" customWidth="1"/>
    <col min="3497" max="3497" width="10.28515625" style="9" customWidth="1"/>
    <col min="3498" max="3498" width="10.5703125" style="9" customWidth="1"/>
    <col min="3499" max="3499" width="11.140625" style="9" customWidth="1"/>
    <col min="3500" max="3500" width="10.42578125" style="9" customWidth="1"/>
    <col min="3501" max="3510" width="11" style="9" customWidth="1"/>
    <col min="3511" max="3511" width="9.140625" style="9" customWidth="1"/>
    <col min="3512" max="3512" width="6.85546875" style="9" customWidth="1"/>
    <col min="3513" max="3513" width="15" style="9" bestFit="1" customWidth="1"/>
    <col min="3514" max="3738" width="9.140625" style="9"/>
    <col min="3739" max="3739" width="4" style="9" customWidth="1"/>
    <col min="3740" max="3740" width="24.42578125" style="9" customWidth="1"/>
    <col min="3741" max="3741" width="19.85546875" style="9" customWidth="1"/>
    <col min="3742" max="3742" width="9.28515625" style="9" customWidth="1"/>
    <col min="3743" max="3743" width="10" style="9" customWidth="1"/>
    <col min="3744" max="3744" width="8.42578125" style="9" customWidth="1"/>
    <col min="3745" max="3745" width="12.28515625" style="9" customWidth="1"/>
    <col min="3746" max="3746" width="7.5703125" style="9" customWidth="1"/>
    <col min="3747" max="3747" width="7.85546875" style="9" customWidth="1"/>
    <col min="3748" max="3748" width="8.28515625" style="9" customWidth="1"/>
    <col min="3749" max="3749" width="9.140625" style="9"/>
    <col min="3750" max="3752" width="7.5703125" style="9" customWidth="1"/>
    <col min="3753" max="3753" width="10.28515625" style="9" customWidth="1"/>
    <col min="3754" max="3754" width="10.5703125" style="9" customWidth="1"/>
    <col min="3755" max="3755" width="11.140625" style="9" customWidth="1"/>
    <col min="3756" max="3756" width="10.42578125" style="9" customWidth="1"/>
    <col min="3757" max="3766" width="11" style="9" customWidth="1"/>
    <col min="3767" max="3767" width="9.140625" style="9" customWidth="1"/>
    <col min="3768" max="3768" width="6.85546875" style="9" customWidth="1"/>
    <col min="3769" max="3769" width="15" style="9" bestFit="1" customWidth="1"/>
    <col min="3770" max="3994" width="9.140625" style="9"/>
    <col min="3995" max="3995" width="4" style="9" customWidth="1"/>
    <col min="3996" max="3996" width="24.42578125" style="9" customWidth="1"/>
    <col min="3997" max="3997" width="19.85546875" style="9" customWidth="1"/>
    <col min="3998" max="3998" width="9.28515625" style="9" customWidth="1"/>
    <col min="3999" max="3999" width="10" style="9" customWidth="1"/>
    <col min="4000" max="4000" width="8.42578125" style="9" customWidth="1"/>
    <col min="4001" max="4001" width="12.28515625" style="9" customWidth="1"/>
    <col min="4002" max="4002" width="7.5703125" style="9" customWidth="1"/>
    <col min="4003" max="4003" width="7.85546875" style="9" customWidth="1"/>
    <col min="4004" max="4004" width="8.28515625" style="9" customWidth="1"/>
    <col min="4005" max="4005" width="9.140625" style="9"/>
    <col min="4006" max="4008" width="7.5703125" style="9" customWidth="1"/>
    <col min="4009" max="4009" width="10.28515625" style="9" customWidth="1"/>
    <col min="4010" max="4010" width="10.5703125" style="9" customWidth="1"/>
    <col min="4011" max="4011" width="11.140625" style="9" customWidth="1"/>
    <col min="4012" max="4012" width="10.42578125" style="9" customWidth="1"/>
    <col min="4013" max="4022" width="11" style="9" customWidth="1"/>
    <col min="4023" max="4023" width="9.140625" style="9" customWidth="1"/>
    <col min="4024" max="4024" width="6.85546875" style="9" customWidth="1"/>
    <col min="4025" max="4025" width="15" style="9" bestFit="1" customWidth="1"/>
    <col min="4026" max="4250" width="9.140625" style="9"/>
    <col min="4251" max="4251" width="4" style="9" customWidth="1"/>
    <col min="4252" max="4252" width="24.42578125" style="9" customWidth="1"/>
    <col min="4253" max="4253" width="19.85546875" style="9" customWidth="1"/>
    <col min="4254" max="4254" width="9.28515625" style="9" customWidth="1"/>
    <col min="4255" max="4255" width="10" style="9" customWidth="1"/>
    <col min="4256" max="4256" width="8.42578125" style="9" customWidth="1"/>
    <col min="4257" max="4257" width="12.28515625" style="9" customWidth="1"/>
    <col min="4258" max="4258" width="7.5703125" style="9" customWidth="1"/>
    <col min="4259" max="4259" width="7.85546875" style="9" customWidth="1"/>
    <col min="4260" max="4260" width="8.28515625" style="9" customWidth="1"/>
    <col min="4261" max="4261" width="9.140625" style="9"/>
    <col min="4262" max="4264" width="7.5703125" style="9" customWidth="1"/>
    <col min="4265" max="4265" width="10.28515625" style="9" customWidth="1"/>
    <col min="4266" max="4266" width="10.5703125" style="9" customWidth="1"/>
    <col min="4267" max="4267" width="11.140625" style="9" customWidth="1"/>
    <col min="4268" max="4268" width="10.42578125" style="9" customWidth="1"/>
    <col min="4269" max="4278" width="11" style="9" customWidth="1"/>
    <col min="4279" max="4279" width="9.140625" style="9" customWidth="1"/>
    <col min="4280" max="4280" width="6.85546875" style="9" customWidth="1"/>
    <col min="4281" max="4281" width="15" style="9" bestFit="1" customWidth="1"/>
    <col min="4282" max="4506" width="9.140625" style="9"/>
    <col min="4507" max="4507" width="4" style="9" customWidth="1"/>
    <col min="4508" max="4508" width="24.42578125" style="9" customWidth="1"/>
    <col min="4509" max="4509" width="19.85546875" style="9" customWidth="1"/>
    <col min="4510" max="4510" width="9.28515625" style="9" customWidth="1"/>
    <col min="4511" max="4511" width="10" style="9" customWidth="1"/>
    <col min="4512" max="4512" width="8.42578125" style="9" customWidth="1"/>
    <col min="4513" max="4513" width="12.28515625" style="9" customWidth="1"/>
    <col min="4514" max="4514" width="7.5703125" style="9" customWidth="1"/>
    <col min="4515" max="4515" width="7.85546875" style="9" customWidth="1"/>
    <col min="4516" max="4516" width="8.28515625" style="9" customWidth="1"/>
    <col min="4517" max="4517" width="9.140625" style="9"/>
    <col min="4518" max="4520" width="7.5703125" style="9" customWidth="1"/>
    <col min="4521" max="4521" width="10.28515625" style="9" customWidth="1"/>
    <col min="4522" max="4522" width="10.5703125" style="9" customWidth="1"/>
    <col min="4523" max="4523" width="11.140625" style="9" customWidth="1"/>
    <col min="4524" max="4524" width="10.42578125" style="9" customWidth="1"/>
    <col min="4525" max="4534" width="11" style="9" customWidth="1"/>
    <col min="4535" max="4535" width="9.140625" style="9" customWidth="1"/>
    <col min="4536" max="4536" width="6.85546875" style="9" customWidth="1"/>
    <col min="4537" max="4537" width="15" style="9" bestFit="1" customWidth="1"/>
    <col min="4538" max="4762" width="9.140625" style="9"/>
    <col min="4763" max="4763" width="4" style="9" customWidth="1"/>
    <col min="4764" max="4764" width="24.42578125" style="9" customWidth="1"/>
    <col min="4765" max="4765" width="19.85546875" style="9" customWidth="1"/>
    <col min="4766" max="4766" width="9.28515625" style="9" customWidth="1"/>
    <col min="4767" max="4767" width="10" style="9" customWidth="1"/>
    <col min="4768" max="4768" width="8.42578125" style="9" customWidth="1"/>
    <col min="4769" max="4769" width="12.28515625" style="9" customWidth="1"/>
    <col min="4770" max="4770" width="7.5703125" style="9" customWidth="1"/>
    <col min="4771" max="4771" width="7.85546875" style="9" customWidth="1"/>
    <col min="4772" max="4772" width="8.28515625" style="9" customWidth="1"/>
    <col min="4773" max="4773" width="9.140625" style="9"/>
    <col min="4774" max="4776" width="7.5703125" style="9" customWidth="1"/>
    <col min="4777" max="4777" width="10.28515625" style="9" customWidth="1"/>
    <col min="4778" max="4778" width="10.5703125" style="9" customWidth="1"/>
    <col min="4779" max="4779" width="11.140625" style="9" customWidth="1"/>
    <col min="4780" max="4780" width="10.42578125" style="9" customWidth="1"/>
    <col min="4781" max="4790" width="11" style="9" customWidth="1"/>
    <col min="4791" max="4791" width="9.140625" style="9" customWidth="1"/>
    <col min="4792" max="4792" width="6.85546875" style="9" customWidth="1"/>
    <col min="4793" max="4793" width="15" style="9" bestFit="1" customWidth="1"/>
    <col min="4794" max="5018" width="9.140625" style="9"/>
    <col min="5019" max="5019" width="4" style="9" customWidth="1"/>
    <col min="5020" max="5020" width="24.42578125" style="9" customWidth="1"/>
    <col min="5021" max="5021" width="19.85546875" style="9" customWidth="1"/>
    <col min="5022" max="5022" width="9.28515625" style="9" customWidth="1"/>
    <col min="5023" max="5023" width="10" style="9" customWidth="1"/>
    <col min="5024" max="5024" width="8.42578125" style="9" customWidth="1"/>
    <col min="5025" max="5025" width="12.28515625" style="9" customWidth="1"/>
    <col min="5026" max="5026" width="7.5703125" style="9" customWidth="1"/>
    <col min="5027" max="5027" width="7.85546875" style="9" customWidth="1"/>
    <col min="5028" max="5028" width="8.28515625" style="9" customWidth="1"/>
    <col min="5029" max="5029" width="9.140625" style="9"/>
    <col min="5030" max="5032" width="7.5703125" style="9" customWidth="1"/>
    <col min="5033" max="5033" width="10.28515625" style="9" customWidth="1"/>
    <col min="5034" max="5034" width="10.5703125" style="9" customWidth="1"/>
    <col min="5035" max="5035" width="11.140625" style="9" customWidth="1"/>
    <col min="5036" max="5036" width="10.42578125" style="9" customWidth="1"/>
    <col min="5037" max="5046" width="11" style="9" customWidth="1"/>
    <col min="5047" max="5047" width="9.140625" style="9" customWidth="1"/>
    <col min="5048" max="5048" width="6.85546875" style="9" customWidth="1"/>
    <col min="5049" max="5049" width="15" style="9" bestFit="1" customWidth="1"/>
    <col min="5050" max="5274" width="9.140625" style="9"/>
    <col min="5275" max="5275" width="4" style="9" customWidth="1"/>
    <col min="5276" max="5276" width="24.42578125" style="9" customWidth="1"/>
    <col min="5277" max="5277" width="19.85546875" style="9" customWidth="1"/>
    <col min="5278" max="5278" width="9.28515625" style="9" customWidth="1"/>
    <col min="5279" max="5279" width="10" style="9" customWidth="1"/>
    <col min="5280" max="5280" width="8.42578125" style="9" customWidth="1"/>
    <col min="5281" max="5281" width="12.28515625" style="9" customWidth="1"/>
    <col min="5282" max="5282" width="7.5703125" style="9" customWidth="1"/>
    <col min="5283" max="5283" width="7.85546875" style="9" customWidth="1"/>
    <col min="5284" max="5284" width="8.28515625" style="9" customWidth="1"/>
    <col min="5285" max="5285" width="9.140625" style="9"/>
    <col min="5286" max="5288" width="7.5703125" style="9" customWidth="1"/>
    <col min="5289" max="5289" width="10.28515625" style="9" customWidth="1"/>
    <col min="5290" max="5290" width="10.5703125" style="9" customWidth="1"/>
    <col min="5291" max="5291" width="11.140625" style="9" customWidth="1"/>
    <col min="5292" max="5292" width="10.42578125" style="9" customWidth="1"/>
    <col min="5293" max="5302" width="11" style="9" customWidth="1"/>
    <col min="5303" max="5303" width="9.140625" style="9" customWidth="1"/>
    <col min="5304" max="5304" width="6.85546875" style="9" customWidth="1"/>
    <col min="5305" max="5305" width="15" style="9" bestFit="1" customWidth="1"/>
    <col min="5306" max="5530" width="9.140625" style="9"/>
    <col min="5531" max="5531" width="4" style="9" customWidth="1"/>
    <col min="5532" max="5532" width="24.42578125" style="9" customWidth="1"/>
    <col min="5533" max="5533" width="19.85546875" style="9" customWidth="1"/>
    <col min="5534" max="5534" width="9.28515625" style="9" customWidth="1"/>
    <col min="5535" max="5535" width="10" style="9" customWidth="1"/>
    <col min="5536" max="5536" width="8.42578125" style="9" customWidth="1"/>
    <col min="5537" max="5537" width="12.28515625" style="9" customWidth="1"/>
    <col min="5538" max="5538" width="7.5703125" style="9" customWidth="1"/>
    <col min="5539" max="5539" width="7.85546875" style="9" customWidth="1"/>
    <col min="5540" max="5540" width="8.28515625" style="9" customWidth="1"/>
    <col min="5541" max="5541" width="9.140625" style="9"/>
    <col min="5542" max="5544" width="7.5703125" style="9" customWidth="1"/>
    <col min="5545" max="5545" width="10.28515625" style="9" customWidth="1"/>
    <col min="5546" max="5546" width="10.5703125" style="9" customWidth="1"/>
    <col min="5547" max="5547" width="11.140625" style="9" customWidth="1"/>
    <col min="5548" max="5548" width="10.42578125" style="9" customWidth="1"/>
    <col min="5549" max="5558" width="11" style="9" customWidth="1"/>
    <col min="5559" max="5559" width="9.140625" style="9" customWidth="1"/>
    <col min="5560" max="5560" width="6.85546875" style="9" customWidth="1"/>
    <col min="5561" max="5561" width="15" style="9" bestFit="1" customWidth="1"/>
    <col min="5562" max="5786" width="9.140625" style="9"/>
    <col min="5787" max="5787" width="4" style="9" customWidth="1"/>
    <col min="5788" max="5788" width="24.42578125" style="9" customWidth="1"/>
    <col min="5789" max="5789" width="19.85546875" style="9" customWidth="1"/>
    <col min="5790" max="5790" width="9.28515625" style="9" customWidth="1"/>
    <col min="5791" max="5791" width="10" style="9" customWidth="1"/>
    <col min="5792" max="5792" width="8.42578125" style="9" customWidth="1"/>
    <col min="5793" max="5793" width="12.28515625" style="9" customWidth="1"/>
    <col min="5794" max="5794" width="7.5703125" style="9" customWidth="1"/>
    <col min="5795" max="5795" width="7.85546875" style="9" customWidth="1"/>
    <col min="5796" max="5796" width="8.28515625" style="9" customWidth="1"/>
    <col min="5797" max="5797" width="9.140625" style="9"/>
    <col min="5798" max="5800" width="7.5703125" style="9" customWidth="1"/>
    <col min="5801" max="5801" width="10.28515625" style="9" customWidth="1"/>
    <col min="5802" max="5802" width="10.5703125" style="9" customWidth="1"/>
    <col min="5803" max="5803" width="11.140625" style="9" customWidth="1"/>
    <col min="5804" max="5804" width="10.42578125" style="9" customWidth="1"/>
    <col min="5805" max="5814" width="11" style="9" customWidth="1"/>
    <col min="5815" max="5815" width="9.140625" style="9" customWidth="1"/>
    <col min="5816" max="5816" width="6.85546875" style="9" customWidth="1"/>
    <col min="5817" max="5817" width="15" style="9" bestFit="1" customWidth="1"/>
    <col min="5818" max="6042" width="9.140625" style="9"/>
    <col min="6043" max="6043" width="4" style="9" customWidth="1"/>
    <col min="6044" max="6044" width="24.42578125" style="9" customWidth="1"/>
    <col min="6045" max="6045" width="19.85546875" style="9" customWidth="1"/>
    <col min="6046" max="6046" width="9.28515625" style="9" customWidth="1"/>
    <col min="6047" max="6047" width="10" style="9" customWidth="1"/>
    <col min="6048" max="6048" width="8.42578125" style="9" customWidth="1"/>
    <col min="6049" max="6049" width="12.28515625" style="9" customWidth="1"/>
    <col min="6050" max="6050" width="7.5703125" style="9" customWidth="1"/>
    <col min="6051" max="6051" width="7.85546875" style="9" customWidth="1"/>
    <col min="6052" max="6052" width="8.28515625" style="9" customWidth="1"/>
    <col min="6053" max="6053" width="9.140625" style="9"/>
    <col min="6054" max="6056" width="7.5703125" style="9" customWidth="1"/>
    <col min="6057" max="6057" width="10.28515625" style="9" customWidth="1"/>
    <col min="6058" max="6058" width="10.5703125" style="9" customWidth="1"/>
    <col min="6059" max="6059" width="11.140625" style="9" customWidth="1"/>
    <col min="6060" max="6060" width="10.42578125" style="9" customWidth="1"/>
    <col min="6061" max="6070" width="11" style="9" customWidth="1"/>
    <col min="6071" max="6071" width="9.140625" style="9" customWidth="1"/>
    <col min="6072" max="6072" width="6.85546875" style="9" customWidth="1"/>
    <col min="6073" max="6073" width="15" style="9" bestFit="1" customWidth="1"/>
    <col min="6074" max="6298" width="9.140625" style="9"/>
    <col min="6299" max="6299" width="4" style="9" customWidth="1"/>
    <col min="6300" max="6300" width="24.42578125" style="9" customWidth="1"/>
    <col min="6301" max="6301" width="19.85546875" style="9" customWidth="1"/>
    <col min="6302" max="6302" width="9.28515625" style="9" customWidth="1"/>
    <col min="6303" max="6303" width="10" style="9" customWidth="1"/>
    <col min="6304" max="6304" width="8.42578125" style="9" customWidth="1"/>
    <col min="6305" max="6305" width="12.28515625" style="9" customWidth="1"/>
    <col min="6306" max="6306" width="7.5703125" style="9" customWidth="1"/>
    <col min="6307" max="6307" width="7.85546875" style="9" customWidth="1"/>
    <col min="6308" max="6308" width="8.28515625" style="9" customWidth="1"/>
    <col min="6309" max="6309" width="9.140625" style="9"/>
    <col min="6310" max="6312" width="7.5703125" style="9" customWidth="1"/>
    <col min="6313" max="6313" width="10.28515625" style="9" customWidth="1"/>
    <col min="6314" max="6314" width="10.5703125" style="9" customWidth="1"/>
    <col min="6315" max="6315" width="11.140625" style="9" customWidth="1"/>
    <col min="6316" max="6316" width="10.42578125" style="9" customWidth="1"/>
    <col min="6317" max="6326" width="11" style="9" customWidth="1"/>
    <col min="6327" max="6327" width="9.140625" style="9" customWidth="1"/>
    <col min="6328" max="6328" width="6.85546875" style="9" customWidth="1"/>
    <col min="6329" max="6329" width="15" style="9" bestFit="1" customWidth="1"/>
    <col min="6330" max="6554" width="9.140625" style="9"/>
    <col min="6555" max="6555" width="4" style="9" customWidth="1"/>
    <col min="6556" max="6556" width="24.42578125" style="9" customWidth="1"/>
    <col min="6557" max="6557" width="19.85546875" style="9" customWidth="1"/>
    <col min="6558" max="6558" width="9.28515625" style="9" customWidth="1"/>
    <col min="6559" max="6559" width="10" style="9" customWidth="1"/>
    <col min="6560" max="6560" width="8.42578125" style="9" customWidth="1"/>
    <col min="6561" max="6561" width="12.28515625" style="9" customWidth="1"/>
    <col min="6562" max="6562" width="7.5703125" style="9" customWidth="1"/>
    <col min="6563" max="6563" width="7.85546875" style="9" customWidth="1"/>
    <col min="6564" max="6564" width="8.28515625" style="9" customWidth="1"/>
    <col min="6565" max="6565" width="9.140625" style="9"/>
    <col min="6566" max="6568" width="7.5703125" style="9" customWidth="1"/>
    <col min="6569" max="6569" width="10.28515625" style="9" customWidth="1"/>
    <col min="6570" max="6570" width="10.5703125" style="9" customWidth="1"/>
    <col min="6571" max="6571" width="11.140625" style="9" customWidth="1"/>
    <col min="6572" max="6572" width="10.42578125" style="9" customWidth="1"/>
    <col min="6573" max="6582" width="11" style="9" customWidth="1"/>
    <col min="6583" max="6583" width="9.140625" style="9" customWidth="1"/>
    <col min="6584" max="6584" width="6.85546875" style="9" customWidth="1"/>
    <col min="6585" max="6585" width="15" style="9" bestFit="1" customWidth="1"/>
    <col min="6586" max="6810" width="9.140625" style="9"/>
    <col min="6811" max="6811" width="4" style="9" customWidth="1"/>
    <col min="6812" max="6812" width="24.42578125" style="9" customWidth="1"/>
    <col min="6813" max="6813" width="19.85546875" style="9" customWidth="1"/>
    <col min="6814" max="6814" width="9.28515625" style="9" customWidth="1"/>
    <col min="6815" max="6815" width="10" style="9" customWidth="1"/>
    <col min="6816" max="6816" width="8.42578125" style="9" customWidth="1"/>
    <col min="6817" max="6817" width="12.28515625" style="9" customWidth="1"/>
    <col min="6818" max="6818" width="7.5703125" style="9" customWidth="1"/>
    <col min="6819" max="6819" width="7.85546875" style="9" customWidth="1"/>
    <col min="6820" max="6820" width="8.28515625" style="9" customWidth="1"/>
    <col min="6821" max="6821" width="9.140625" style="9"/>
    <col min="6822" max="6824" width="7.5703125" style="9" customWidth="1"/>
    <col min="6825" max="6825" width="10.28515625" style="9" customWidth="1"/>
    <col min="6826" max="6826" width="10.5703125" style="9" customWidth="1"/>
    <col min="6827" max="6827" width="11.140625" style="9" customWidth="1"/>
    <col min="6828" max="6828" width="10.42578125" style="9" customWidth="1"/>
    <col min="6829" max="6838" width="11" style="9" customWidth="1"/>
    <col min="6839" max="6839" width="9.140625" style="9" customWidth="1"/>
    <col min="6840" max="6840" width="6.85546875" style="9" customWidth="1"/>
    <col min="6841" max="6841" width="15" style="9" bestFit="1" customWidth="1"/>
    <col min="6842" max="7066" width="9.140625" style="9"/>
    <col min="7067" max="7067" width="4" style="9" customWidth="1"/>
    <col min="7068" max="7068" width="24.42578125" style="9" customWidth="1"/>
    <col min="7069" max="7069" width="19.85546875" style="9" customWidth="1"/>
    <col min="7070" max="7070" width="9.28515625" style="9" customWidth="1"/>
    <col min="7071" max="7071" width="10" style="9" customWidth="1"/>
    <col min="7072" max="7072" width="8.42578125" style="9" customWidth="1"/>
    <col min="7073" max="7073" width="12.28515625" style="9" customWidth="1"/>
    <col min="7074" max="7074" width="7.5703125" style="9" customWidth="1"/>
    <col min="7075" max="7075" width="7.85546875" style="9" customWidth="1"/>
    <col min="7076" max="7076" width="8.28515625" style="9" customWidth="1"/>
    <col min="7077" max="7077" width="9.140625" style="9"/>
    <col min="7078" max="7080" width="7.5703125" style="9" customWidth="1"/>
    <col min="7081" max="7081" width="10.28515625" style="9" customWidth="1"/>
    <col min="7082" max="7082" width="10.5703125" style="9" customWidth="1"/>
    <col min="7083" max="7083" width="11.140625" style="9" customWidth="1"/>
    <col min="7084" max="7084" width="10.42578125" style="9" customWidth="1"/>
    <col min="7085" max="7094" width="11" style="9" customWidth="1"/>
    <col min="7095" max="7095" width="9.140625" style="9" customWidth="1"/>
    <col min="7096" max="7096" width="6.85546875" style="9" customWidth="1"/>
    <col min="7097" max="7097" width="15" style="9" bestFit="1" customWidth="1"/>
    <col min="7098" max="7322" width="9.140625" style="9"/>
    <col min="7323" max="7323" width="4" style="9" customWidth="1"/>
    <col min="7324" max="7324" width="24.42578125" style="9" customWidth="1"/>
    <col min="7325" max="7325" width="19.85546875" style="9" customWidth="1"/>
    <col min="7326" max="7326" width="9.28515625" style="9" customWidth="1"/>
    <col min="7327" max="7327" width="10" style="9" customWidth="1"/>
    <col min="7328" max="7328" width="8.42578125" style="9" customWidth="1"/>
    <col min="7329" max="7329" width="12.28515625" style="9" customWidth="1"/>
    <col min="7330" max="7330" width="7.5703125" style="9" customWidth="1"/>
    <col min="7331" max="7331" width="7.85546875" style="9" customWidth="1"/>
    <col min="7332" max="7332" width="8.28515625" style="9" customWidth="1"/>
    <col min="7333" max="7333" width="9.140625" style="9"/>
    <col min="7334" max="7336" width="7.5703125" style="9" customWidth="1"/>
    <col min="7337" max="7337" width="10.28515625" style="9" customWidth="1"/>
    <col min="7338" max="7338" width="10.5703125" style="9" customWidth="1"/>
    <col min="7339" max="7339" width="11.140625" style="9" customWidth="1"/>
    <col min="7340" max="7340" width="10.42578125" style="9" customWidth="1"/>
    <col min="7341" max="7350" width="11" style="9" customWidth="1"/>
    <col min="7351" max="7351" width="9.140625" style="9" customWidth="1"/>
    <col min="7352" max="7352" width="6.85546875" style="9" customWidth="1"/>
    <col min="7353" max="7353" width="15" style="9" bestFit="1" customWidth="1"/>
    <col min="7354" max="7578" width="9.140625" style="9"/>
    <col min="7579" max="7579" width="4" style="9" customWidth="1"/>
    <col min="7580" max="7580" width="24.42578125" style="9" customWidth="1"/>
    <col min="7581" max="7581" width="19.85546875" style="9" customWidth="1"/>
    <col min="7582" max="7582" width="9.28515625" style="9" customWidth="1"/>
    <col min="7583" max="7583" width="10" style="9" customWidth="1"/>
    <col min="7584" max="7584" width="8.42578125" style="9" customWidth="1"/>
    <col min="7585" max="7585" width="12.28515625" style="9" customWidth="1"/>
    <col min="7586" max="7586" width="7.5703125" style="9" customWidth="1"/>
    <col min="7587" max="7587" width="7.85546875" style="9" customWidth="1"/>
    <col min="7588" max="7588" width="8.28515625" style="9" customWidth="1"/>
    <col min="7589" max="7589" width="9.140625" style="9"/>
    <col min="7590" max="7592" width="7.5703125" style="9" customWidth="1"/>
    <col min="7593" max="7593" width="10.28515625" style="9" customWidth="1"/>
    <col min="7594" max="7594" width="10.5703125" style="9" customWidth="1"/>
    <col min="7595" max="7595" width="11.140625" style="9" customWidth="1"/>
    <col min="7596" max="7596" width="10.42578125" style="9" customWidth="1"/>
    <col min="7597" max="7606" width="11" style="9" customWidth="1"/>
    <col min="7607" max="7607" width="9.140625" style="9" customWidth="1"/>
    <col min="7608" max="7608" width="6.85546875" style="9" customWidth="1"/>
    <col min="7609" max="7609" width="15" style="9" bestFit="1" customWidth="1"/>
    <col min="7610" max="7834" width="9.140625" style="9"/>
    <col min="7835" max="7835" width="4" style="9" customWidth="1"/>
    <col min="7836" max="7836" width="24.42578125" style="9" customWidth="1"/>
    <col min="7837" max="7837" width="19.85546875" style="9" customWidth="1"/>
    <col min="7838" max="7838" width="9.28515625" style="9" customWidth="1"/>
    <col min="7839" max="7839" width="10" style="9" customWidth="1"/>
    <col min="7840" max="7840" width="8.42578125" style="9" customWidth="1"/>
    <col min="7841" max="7841" width="12.28515625" style="9" customWidth="1"/>
    <col min="7842" max="7842" width="7.5703125" style="9" customWidth="1"/>
    <col min="7843" max="7843" width="7.85546875" style="9" customWidth="1"/>
    <col min="7844" max="7844" width="8.28515625" style="9" customWidth="1"/>
    <col min="7845" max="7845" width="9.140625" style="9"/>
    <col min="7846" max="7848" width="7.5703125" style="9" customWidth="1"/>
    <col min="7849" max="7849" width="10.28515625" style="9" customWidth="1"/>
    <col min="7850" max="7850" width="10.5703125" style="9" customWidth="1"/>
    <col min="7851" max="7851" width="11.140625" style="9" customWidth="1"/>
    <col min="7852" max="7852" width="10.42578125" style="9" customWidth="1"/>
    <col min="7853" max="7862" width="11" style="9" customWidth="1"/>
    <col min="7863" max="7863" width="9.140625" style="9" customWidth="1"/>
    <col min="7864" max="7864" width="6.85546875" style="9" customWidth="1"/>
    <col min="7865" max="7865" width="15" style="9" bestFit="1" customWidth="1"/>
    <col min="7866" max="8090" width="9.140625" style="9"/>
    <col min="8091" max="8091" width="4" style="9" customWidth="1"/>
    <col min="8092" max="8092" width="24.42578125" style="9" customWidth="1"/>
    <col min="8093" max="8093" width="19.85546875" style="9" customWidth="1"/>
    <col min="8094" max="8094" width="9.28515625" style="9" customWidth="1"/>
    <col min="8095" max="8095" width="10" style="9" customWidth="1"/>
    <col min="8096" max="8096" width="8.42578125" style="9" customWidth="1"/>
    <col min="8097" max="8097" width="12.28515625" style="9" customWidth="1"/>
    <col min="8098" max="8098" width="7.5703125" style="9" customWidth="1"/>
    <col min="8099" max="8099" width="7.85546875" style="9" customWidth="1"/>
    <col min="8100" max="8100" width="8.28515625" style="9" customWidth="1"/>
    <col min="8101" max="8101" width="9.140625" style="9"/>
    <col min="8102" max="8104" width="7.5703125" style="9" customWidth="1"/>
    <col min="8105" max="8105" width="10.28515625" style="9" customWidth="1"/>
    <col min="8106" max="8106" width="10.5703125" style="9" customWidth="1"/>
    <col min="8107" max="8107" width="11.140625" style="9" customWidth="1"/>
    <col min="8108" max="8108" width="10.42578125" style="9" customWidth="1"/>
    <col min="8109" max="8118" width="11" style="9" customWidth="1"/>
    <col min="8119" max="8119" width="9.140625" style="9" customWidth="1"/>
    <col min="8120" max="8120" width="6.85546875" style="9" customWidth="1"/>
    <col min="8121" max="8121" width="15" style="9" bestFit="1" customWidth="1"/>
    <col min="8122" max="8346" width="9.140625" style="9"/>
    <col min="8347" max="8347" width="4" style="9" customWidth="1"/>
    <col min="8348" max="8348" width="24.42578125" style="9" customWidth="1"/>
    <col min="8349" max="8349" width="19.85546875" style="9" customWidth="1"/>
    <col min="8350" max="8350" width="9.28515625" style="9" customWidth="1"/>
    <col min="8351" max="8351" width="10" style="9" customWidth="1"/>
    <col min="8352" max="8352" width="8.42578125" style="9" customWidth="1"/>
    <col min="8353" max="8353" width="12.28515625" style="9" customWidth="1"/>
    <col min="8354" max="8354" width="7.5703125" style="9" customWidth="1"/>
    <col min="8355" max="8355" width="7.85546875" style="9" customWidth="1"/>
    <col min="8356" max="8356" width="8.28515625" style="9" customWidth="1"/>
    <col min="8357" max="8357" width="9.140625" style="9"/>
    <col min="8358" max="8360" width="7.5703125" style="9" customWidth="1"/>
    <col min="8361" max="8361" width="10.28515625" style="9" customWidth="1"/>
    <col min="8362" max="8362" width="10.5703125" style="9" customWidth="1"/>
    <col min="8363" max="8363" width="11.140625" style="9" customWidth="1"/>
    <col min="8364" max="8364" width="10.42578125" style="9" customWidth="1"/>
    <col min="8365" max="8374" width="11" style="9" customWidth="1"/>
    <col min="8375" max="8375" width="9.140625" style="9" customWidth="1"/>
    <col min="8376" max="8376" width="6.85546875" style="9" customWidth="1"/>
    <col min="8377" max="8377" width="15" style="9" bestFit="1" customWidth="1"/>
    <col min="8378" max="8602" width="9.140625" style="9"/>
    <col min="8603" max="8603" width="4" style="9" customWidth="1"/>
    <col min="8604" max="8604" width="24.42578125" style="9" customWidth="1"/>
    <col min="8605" max="8605" width="19.85546875" style="9" customWidth="1"/>
    <col min="8606" max="8606" width="9.28515625" style="9" customWidth="1"/>
    <col min="8607" max="8607" width="10" style="9" customWidth="1"/>
    <col min="8608" max="8608" width="8.42578125" style="9" customWidth="1"/>
    <col min="8609" max="8609" width="12.28515625" style="9" customWidth="1"/>
    <col min="8610" max="8610" width="7.5703125" style="9" customWidth="1"/>
    <col min="8611" max="8611" width="7.85546875" style="9" customWidth="1"/>
    <col min="8612" max="8612" width="8.28515625" style="9" customWidth="1"/>
    <col min="8613" max="8613" width="9.140625" style="9"/>
    <col min="8614" max="8616" width="7.5703125" style="9" customWidth="1"/>
    <col min="8617" max="8617" width="10.28515625" style="9" customWidth="1"/>
    <col min="8618" max="8618" width="10.5703125" style="9" customWidth="1"/>
    <col min="8619" max="8619" width="11.140625" style="9" customWidth="1"/>
    <col min="8620" max="8620" width="10.42578125" style="9" customWidth="1"/>
    <col min="8621" max="8630" width="11" style="9" customWidth="1"/>
    <col min="8631" max="8631" width="9.140625" style="9" customWidth="1"/>
    <col min="8632" max="8632" width="6.85546875" style="9" customWidth="1"/>
    <col min="8633" max="8633" width="15" style="9" bestFit="1" customWidth="1"/>
    <col min="8634" max="8858" width="9.140625" style="9"/>
    <col min="8859" max="8859" width="4" style="9" customWidth="1"/>
    <col min="8860" max="8860" width="24.42578125" style="9" customWidth="1"/>
    <col min="8861" max="8861" width="19.85546875" style="9" customWidth="1"/>
    <col min="8862" max="8862" width="9.28515625" style="9" customWidth="1"/>
    <col min="8863" max="8863" width="10" style="9" customWidth="1"/>
    <col min="8864" max="8864" width="8.42578125" style="9" customWidth="1"/>
    <col min="8865" max="8865" width="12.28515625" style="9" customWidth="1"/>
    <col min="8866" max="8866" width="7.5703125" style="9" customWidth="1"/>
    <col min="8867" max="8867" width="7.85546875" style="9" customWidth="1"/>
    <col min="8868" max="8868" width="8.28515625" style="9" customWidth="1"/>
    <col min="8869" max="8869" width="9.140625" style="9"/>
    <col min="8870" max="8872" width="7.5703125" style="9" customWidth="1"/>
    <col min="8873" max="8873" width="10.28515625" style="9" customWidth="1"/>
    <col min="8874" max="8874" width="10.5703125" style="9" customWidth="1"/>
    <col min="8875" max="8875" width="11.140625" style="9" customWidth="1"/>
    <col min="8876" max="8876" width="10.42578125" style="9" customWidth="1"/>
    <col min="8877" max="8886" width="11" style="9" customWidth="1"/>
    <col min="8887" max="8887" width="9.140625" style="9" customWidth="1"/>
    <col min="8888" max="8888" width="6.85546875" style="9" customWidth="1"/>
    <col min="8889" max="8889" width="15" style="9" bestFit="1" customWidth="1"/>
    <col min="8890" max="9114" width="9.140625" style="9"/>
    <col min="9115" max="9115" width="4" style="9" customWidth="1"/>
    <col min="9116" max="9116" width="24.42578125" style="9" customWidth="1"/>
    <col min="9117" max="9117" width="19.85546875" style="9" customWidth="1"/>
    <col min="9118" max="9118" width="9.28515625" style="9" customWidth="1"/>
    <col min="9119" max="9119" width="10" style="9" customWidth="1"/>
    <col min="9120" max="9120" width="8.42578125" style="9" customWidth="1"/>
    <col min="9121" max="9121" width="12.28515625" style="9" customWidth="1"/>
    <col min="9122" max="9122" width="7.5703125" style="9" customWidth="1"/>
    <col min="9123" max="9123" width="7.85546875" style="9" customWidth="1"/>
    <col min="9124" max="9124" width="8.28515625" style="9" customWidth="1"/>
    <col min="9125" max="9125" width="9.140625" style="9"/>
    <col min="9126" max="9128" width="7.5703125" style="9" customWidth="1"/>
    <col min="9129" max="9129" width="10.28515625" style="9" customWidth="1"/>
    <col min="9130" max="9130" width="10.5703125" style="9" customWidth="1"/>
    <col min="9131" max="9131" width="11.140625" style="9" customWidth="1"/>
    <col min="9132" max="9132" width="10.42578125" style="9" customWidth="1"/>
    <col min="9133" max="9142" width="11" style="9" customWidth="1"/>
    <col min="9143" max="9143" width="9.140625" style="9" customWidth="1"/>
    <col min="9144" max="9144" width="6.85546875" style="9" customWidth="1"/>
    <col min="9145" max="9145" width="15" style="9" bestFit="1" customWidth="1"/>
    <col min="9146" max="9370" width="9.140625" style="9"/>
    <col min="9371" max="9371" width="4" style="9" customWidth="1"/>
    <col min="9372" max="9372" width="24.42578125" style="9" customWidth="1"/>
    <col min="9373" max="9373" width="19.85546875" style="9" customWidth="1"/>
    <col min="9374" max="9374" width="9.28515625" style="9" customWidth="1"/>
    <col min="9375" max="9375" width="10" style="9" customWidth="1"/>
    <col min="9376" max="9376" width="8.42578125" style="9" customWidth="1"/>
    <col min="9377" max="9377" width="12.28515625" style="9" customWidth="1"/>
    <col min="9378" max="9378" width="7.5703125" style="9" customWidth="1"/>
    <col min="9379" max="9379" width="7.85546875" style="9" customWidth="1"/>
    <col min="9380" max="9380" width="8.28515625" style="9" customWidth="1"/>
    <col min="9381" max="9381" width="9.140625" style="9"/>
    <col min="9382" max="9384" width="7.5703125" style="9" customWidth="1"/>
    <col min="9385" max="9385" width="10.28515625" style="9" customWidth="1"/>
    <col min="9386" max="9386" width="10.5703125" style="9" customWidth="1"/>
    <col min="9387" max="9387" width="11.140625" style="9" customWidth="1"/>
    <col min="9388" max="9388" width="10.42578125" style="9" customWidth="1"/>
    <col min="9389" max="9398" width="11" style="9" customWidth="1"/>
    <col min="9399" max="9399" width="9.140625" style="9" customWidth="1"/>
    <col min="9400" max="9400" width="6.85546875" style="9" customWidth="1"/>
    <col min="9401" max="9401" width="15" style="9" bestFit="1" customWidth="1"/>
    <col min="9402" max="9626" width="9.140625" style="9"/>
    <col min="9627" max="9627" width="4" style="9" customWidth="1"/>
    <col min="9628" max="9628" width="24.42578125" style="9" customWidth="1"/>
    <col min="9629" max="9629" width="19.85546875" style="9" customWidth="1"/>
    <col min="9630" max="9630" width="9.28515625" style="9" customWidth="1"/>
    <col min="9631" max="9631" width="10" style="9" customWidth="1"/>
    <col min="9632" max="9632" width="8.42578125" style="9" customWidth="1"/>
    <col min="9633" max="9633" width="12.28515625" style="9" customWidth="1"/>
    <col min="9634" max="9634" width="7.5703125" style="9" customWidth="1"/>
    <col min="9635" max="9635" width="7.85546875" style="9" customWidth="1"/>
    <col min="9636" max="9636" width="8.28515625" style="9" customWidth="1"/>
    <col min="9637" max="9637" width="9.140625" style="9"/>
    <col min="9638" max="9640" width="7.5703125" style="9" customWidth="1"/>
    <col min="9641" max="9641" width="10.28515625" style="9" customWidth="1"/>
    <col min="9642" max="9642" width="10.5703125" style="9" customWidth="1"/>
    <col min="9643" max="9643" width="11.140625" style="9" customWidth="1"/>
    <col min="9644" max="9644" width="10.42578125" style="9" customWidth="1"/>
    <col min="9645" max="9654" width="11" style="9" customWidth="1"/>
    <col min="9655" max="9655" width="9.140625" style="9" customWidth="1"/>
    <col min="9656" max="9656" width="6.85546875" style="9" customWidth="1"/>
    <col min="9657" max="9657" width="15" style="9" bestFit="1" customWidth="1"/>
    <col min="9658" max="9882" width="9.140625" style="9"/>
    <col min="9883" max="9883" width="4" style="9" customWidth="1"/>
    <col min="9884" max="9884" width="24.42578125" style="9" customWidth="1"/>
    <col min="9885" max="9885" width="19.85546875" style="9" customWidth="1"/>
    <col min="9886" max="9886" width="9.28515625" style="9" customWidth="1"/>
    <col min="9887" max="9887" width="10" style="9" customWidth="1"/>
    <col min="9888" max="9888" width="8.42578125" style="9" customWidth="1"/>
    <col min="9889" max="9889" width="12.28515625" style="9" customWidth="1"/>
    <col min="9890" max="9890" width="7.5703125" style="9" customWidth="1"/>
    <col min="9891" max="9891" width="7.85546875" style="9" customWidth="1"/>
    <col min="9892" max="9892" width="8.28515625" style="9" customWidth="1"/>
    <col min="9893" max="9893" width="9.140625" style="9"/>
    <col min="9894" max="9896" width="7.5703125" style="9" customWidth="1"/>
    <col min="9897" max="9897" width="10.28515625" style="9" customWidth="1"/>
    <col min="9898" max="9898" width="10.5703125" style="9" customWidth="1"/>
    <col min="9899" max="9899" width="11.140625" style="9" customWidth="1"/>
    <col min="9900" max="9900" width="10.42578125" style="9" customWidth="1"/>
    <col min="9901" max="9910" width="11" style="9" customWidth="1"/>
    <col min="9911" max="9911" width="9.140625" style="9" customWidth="1"/>
    <col min="9912" max="9912" width="6.85546875" style="9" customWidth="1"/>
    <col min="9913" max="9913" width="15" style="9" bestFit="1" customWidth="1"/>
    <col min="9914" max="10138" width="9.140625" style="9"/>
    <col min="10139" max="10139" width="4" style="9" customWidth="1"/>
    <col min="10140" max="10140" width="24.42578125" style="9" customWidth="1"/>
    <col min="10141" max="10141" width="19.85546875" style="9" customWidth="1"/>
    <col min="10142" max="10142" width="9.28515625" style="9" customWidth="1"/>
    <col min="10143" max="10143" width="10" style="9" customWidth="1"/>
    <col min="10144" max="10144" width="8.42578125" style="9" customWidth="1"/>
    <col min="10145" max="10145" width="12.28515625" style="9" customWidth="1"/>
    <col min="10146" max="10146" width="7.5703125" style="9" customWidth="1"/>
    <col min="10147" max="10147" width="7.85546875" style="9" customWidth="1"/>
    <col min="10148" max="10148" width="8.28515625" style="9" customWidth="1"/>
    <col min="10149" max="10149" width="9.140625" style="9"/>
    <col min="10150" max="10152" width="7.5703125" style="9" customWidth="1"/>
    <col min="10153" max="10153" width="10.28515625" style="9" customWidth="1"/>
    <col min="10154" max="10154" width="10.5703125" style="9" customWidth="1"/>
    <col min="10155" max="10155" width="11.140625" style="9" customWidth="1"/>
    <col min="10156" max="10156" width="10.42578125" style="9" customWidth="1"/>
    <col min="10157" max="10166" width="11" style="9" customWidth="1"/>
    <col min="10167" max="10167" width="9.140625" style="9" customWidth="1"/>
    <col min="10168" max="10168" width="6.85546875" style="9" customWidth="1"/>
    <col min="10169" max="10169" width="15" style="9" bestFit="1" customWidth="1"/>
    <col min="10170" max="10394" width="9.140625" style="9"/>
    <col min="10395" max="10395" width="4" style="9" customWidth="1"/>
    <col min="10396" max="10396" width="24.42578125" style="9" customWidth="1"/>
    <col min="10397" max="10397" width="19.85546875" style="9" customWidth="1"/>
    <col min="10398" max="10398" width="9.28515625" style="9" customWidth="1"/>
    <col min="10399" max="10399" width="10" style="9" customWidth="1"/>
    <col min="10400" max="10400" width="8.42578125" style="9" customWidth="1"/>
    <col min="10401" max="10401" width="12.28515625" style="9" customWidth="1"/>
    <col min="10402" max="10402" width="7.5703125" style="9" customWidth="1"/>
    <col min="10403" max="10403" width="7.85546875" style="9" customWidth="1"/>
    <col min="10404" max="10404" width="8.28515625" style="9" customWidth="1"/>
    <col min="10405" max="10405" width="9.140625" style="9"/>
    <col min="10406" max="10408" width="7.5703125" style="9" customWidth="1"/>
    <col min="10409" max="10409" width="10.28515625" style="9" customWidth="1"/>
    <col min="10410" max="10410" width="10.5703125" style="9" customWidth="1"/>
    <col min="10411" max="10411" width="11.140625" style="9" customWidth="1"/>
    <col min="10412" max="10412" width="10.42578125" style="9" customWidth="1"/>
    <col min="10413" max="10422" width="11" style="9" customWidth="1"/>
    <col min="10423" max="10423" width="9.140625" style="9" customWidth="1"/>
    <col min="10424" max="10424" width="6.85546875" style="9" customWidth="1"/>
    <col min="10425" max="10425" width="15" style="9" bestFit="1" customWidth="1"/>
    <col min="10426" max="10650" width="9.140625" style="9"/>
    <col min="10651" max="10651" width="4" style="9" customWidth="1"/>
    <col min="10652" max="10652" width="24.42578125" style="9" customWidth="1"/>
    <col min="10653" max="10653" width="19.85546875" style="9" customWidth="1"/>
    <col min="10654" max="10654" width="9.28515625" style="9" customWidth="1"/>
    <col min="10655" max="10655" width="10" style="9" customWidth="1"/>
    <col min="10656" max="10656" width="8.42578125" style="9" customWidth="1"/>
    <col min="10657" max="10657" width="12.28515625" style="9" customWidth="1"/>
    <col min="10658" max="10658" width="7.5703125" style="9" customWidth="1"/>
    <col min="10659" max="10659" width="7.85546875" style="9" customWidth="1"/>
    <col min="10660" max="10660" width="8.28515625" style="9" customWidth="1"/>
    <col min="10661" max="10661" width="9.140625" style="9"/>
    <col min="10662" max="10664" width="7.5703125" style="9" customWidth="1"/>
    <col min="10665" max="10665" width="10.28515625" style="9" customWidth="1"/>
    <col min="10666" max="10666" width="10.5703125" style="9" customWidth="1"/>
    <col min="10667" max="10667" width="11.140625" style="9" customWidth="1"/>
    <col min="10668" max="10668" width="10.42578125" style="9" customWidth="1"/>
    <col min="10669" max="10678" width="11" style="9" customWidth="1"/>
    <col min="10679" max="10679" width="9.140625" style="9" customWidth="1"/>
    <col min="10680" max="10680" width="6.85546875" style="9" customWidth="1"/>
    <col min="10681" max="10681" width="15" style="9" bestFit="1" customWidth="1"/>
    <col min="10682" max="10906" width="9.140625" style="9"/>
    <col min="10907" max="10907" width="4" style="9" customWidth="1"/>
    <col min="10908" max="10908" width="24.42578125" style="9" customWidth="1"/>
    <col min="10909" max="10909" width="19.85546875" style="9" customWidth="1"/>
    <col min="10910" max="10910" width="9.28515625" style="9" customWidth="1"/>
    <col min="10911" max="10911" width="10" style="9" customWidth="1"/>
    <col min="10912" max="10912" width="8.42578125" style="9" customWidth="1"/>
    <col min="10913" max="10913" width="12.28515625" style="9" customWidth="1"/>
    <col min="10914" max="10914" width="7.5703125" style="9" customWidth="1"/>
    <col min="10915" max="10915" width="7.85546875" style="9" customWidth="1"/>
    <col min="10916" max="10916" width="8.28515625" style="9" customWidth="1"/>
    <col min="10917" max="10917" width="9.140625" style="9"/>
    <col min="10918" max="10920" width="7.5703125" style="9" customWidth="1"/>
    <col min="10921" max="10921" width="10.28515625" style="9" customWidth="1"/>
    <col min="10922" max="10922" width="10.5703125" style="9" customWidth="1"/>
    <col min="10923" max="10923" width="11.140625" style="9" customWidth="1"/>
    <col min="10924" max="10924" width="10.42578125" style="9" customWidth="1"/>
    <col min="10925" max="10934" width="11" style="9" customWidth="1"/>
    <col min="10935" max="10935" width="9.140625" style="9" customWidth="1"/>
    <col min="10936" max="10936" width="6.85546875" style="9" customWidth="1"/>
    <col min="10937" max="10937" width="15" style="9" bestFit="1" customWidth="1"/>
    <col min="10938" max="11162" width="9.140625" style="9"/>
    <col min="11163" max="11163" width="4" style="9" customWidth="1"/>
    <col min="11164" max="11164" width="24.42578125" style="9" customWidth="1"/>
    <col min="11165" max="11165" width="19.85546875" style="9" customWidth="1"/>
    <col min="11166" max="11166" width="9.28515625" style="9" customWidth="1"/>
    <col min="11167" max="11167" width="10" style="9" customWidth="1"/>
    <col min="11168" max="11168" width="8.42578125" style="9" customWidth="1"/>
    <col min="11169" max="11169" width="12.28515625" style="9" customWidth="1"/>
    <col min="11170" max="11170" width="7.5703125" style="9" customWidth="1"/>
    <col min="11171" max="11171" width="7.85546875" style="9" customWidth="1"/>
    <col min="11172" max="11172" width="8.28515625" style="9" customWidth="1"/>
    <col min="11173" max="11173" width="9.140625" style="9"/>
    <col min="11174" max="11176" width="7.5703125" style="9" customWidth="1"/>
    <col min="11177" max="11177" width="10.28515625" style="9" customWidth="1"/>
    <col min="11178" max="11178" width="10.5703125" style="9" customWidth="1"/>
    <col min="11179" max="11179" width="11.140625" style="9" customWidth="1"/>
    <col min="11180" max="11180" width="10.42578125" style="9" customWidth="1"/>
    <col min="11181" max="11190" width="11" style="9" customWidth="1"/>
    <col min="11191" max="11191" width="9.140625" style="9" customWidth="1"/>
    <col min="11192" max="11192" width="6.85546875" style="9" customWidth="1"/>
    <col min="11193" max="11193" width="15" style="9" bestFit="1" customWidth="1"/>
    <col min="11194" max="11418" width="9.140625" style="9"/>
    <col min="11419" max="11419" width="4" style="9" customWidth="1"/>
    <col min="11420" max="11420" width="24.42578125" style="9" customWidth="1"/>
    <col min="11421" max="11421" width="19.85546875" style="9" customWidth="1"/>
    <col min="11422" max="11422" width="9.28515625" style="9" customWidth="1"/>
    <col min="11423" max="11423" width="10" style="9" customWidth="1"/>
    <col min="11424" max="11424" width="8.42578125" style="9" customWidth="1"/>
    <col min="11425" max="11425" width="12.28515625" style="9" customWidth="1"/>
    <col min="11426" max="11426" width="7.5703125" style="9" customWidth="1"/>
    <col min="11427" max="11427" width="7.85546875" style="9" customWidth="1"/>
    <col min="11428" max="11428" width="8.28515625" style="9" customWidth="1"/>
    <col min="11429" max="11429" width="9.140625" style="9"/>
    <col min="11430" max="11432" width="7.5703125" style="9" customWidth="1"/>
    <col min="11433" max="11433" width="10.28515625" style="9" customWidth="1"/>
    <col min="11434" max="11434" width="10.5703125" style="9" customWidth="1"/>
    <col min="11435" max="11435" width="11.140625" style="9" customWidth="1"/>
    <col min="11436" max="11436" width="10.42578125" style="9" customWidth="1"/>
    <col min="11437" max="11446" width="11" style="9" customWidth="1"/>
    <col min="11447" max="11447" width="9.140625" style="9" customWidth="1"/>
    <col min="11448" max="11448" width="6.85546875" style="9" customWidth="1"/>
    <col min="11449" max="11449" width="15" style="9" bestFit="1" customWidth="1"/>
    <col min="11450" max="11674" width="9.140625" style="9"/>
    <col min="11675" max="11675" width="4" style="9" customWidth="1"/>
    <col min="11676" max="11676" width="24.42578125" style="9" customWidth="1"/>
    <col min="11677" max="11677" width="19.85546875" style="9" customWidth="1"/>
    <col min="11678" max="11678" width="9.28515625" style="9" customWidth="1"/>
    <col min="11679" max="11679" width="10" style="9" customWidth="1"/>
    <col min="11680" max="11680" width="8.42578125" style="9" customWidth="1"/>
    <col min="11681" max="11681" width="12.28515625" style="9" customWidth="1"/>
    <col min="11682" max="11682" width="7.5703125" style="9" customWidth="1"/>
    <col min="11683" max="11683" width="7.85546875" style="9" customWidth="1"/>
    <col min="11684" max="11684" width="8.28515625" style="9" customWidth="1"/>
    <col min="11685" max="11685" width="9.140625" style="9"/>
    <col min="11686" max="11688" width="7.5703125" style="9" customWidth="1"/>
    <col min="11689" max="11689" width="10.28515625" style="9" customWidth="1"/>
    <col min="11690" max="11690" width="10.5703125" style="9" customWidth="1"/>
    <col min="11691" max="11691" width="11.140625" style="9" customWidth="1"/>
    <col min="11692" max="11692" width="10.42578125" style="9" customWidth="1"/>
    <col min="11693" max="11702" width="11" style="9" customWidth="1"/>
    <col min="11703" max="11703" width="9.140625" style="9" customWidth="1"/>
    <col min="11704" max="11704" width="6.85546875" style="9" customWidth="1"/>
    <col min="11705" max="11705" width="15" style="9" bestFit="1" customWidth="1"/>
    <col min="11706" max="11930" width="9.140625" style="9"/>
    <col min="11931" max="11931" width="4" style="9" customWidth="1"/>
    <col min="11932" max="11932" width="24.42578125" style="9" customWidth="1"/>
    <col min="11933" max="11933" width="19.85546875" style="9" customWidth="1"/>
    <col min="11934" max="11934" width="9.28515625" style="9" customWidth="1"/>
    <col min="11935" max="11935" width="10" style="9" customWidth="1"/>
    <col min="11936" max="11936" width="8.42578125" style="9" customWidth="1"/>
    <col min="11937" max="11937" width="12.28515625" style="9" customWidth="1"/>
    <col min="11938" max="11938" width="7.5703125" style="9" customWidth="1"/>
    <col min="11939" max="11939" width="7.85546875" style="9" customWidth="1"/>
    <col min="11940" max="11940" width="8.28515625" style="9" customWidth="1"/>
    <col min="11941" max="11941" width="9.140625" style="9"/>
    <col min="11942" max="11944" width="7.5703125" style="9" customWidth="1"/>
    <col min="11945" max="11945" width="10.28515625" style="9" customWidth="1"/>
    <col min="11946" max="11946" width="10.5703125" style="9" customWidth="1"/>
    <col min="11947" max="11947" width="11.140625" style="9" customWidth="1"/>
    <col min="11948" max="11948" width="10.42578125" style="9" customWidth="1"/>
    <col min="11949" max="11958" width="11" style="9" customWidth="1"/>
    <col min="11959" max="11959" width="9.140625" style="9" customWidth="1"/>
    <col min="11960" max="11960" width="6.85546875" style="9" customWidth="1"/>
    <col min="11961" max="11961" width="15" style="9" bestFit="1" customWidth="1"/>
    <col min="11962" max="12186" width="9.140625" style="9"/>
    <col min="12187" max="12187" width="4" style="9" customWidth="1"/>
    <col min="12188" max="12188" width="24.42578125" style="9" customWidth="1"/>
    <col min="12189" max="12189" width="19.85546875" style="9" customWidth="1"/>
    <col min="12190" max="12190" width="9.28515625" style="9" customWidth="1"/>
    <col min="12191" max="12191" width="10" style="9" customWidth="1"/>
    <col min="12192" max="12192" width="8.42578125" style="9" customWidth="1"/>
    <col min="12193" max="12193" width="12.28515625" style="9" customWidth="1"/>
    <col min="12194" max="12194" width="7.5703125" style="9" customWidth="1"/>
    <col min="12195" max="12195" width="7.85546875" style="9" customWidth="1"/>
    <col min="12196" max="12196" width="8.28515625" style="9" customWidth="1"/>
    <col min="12197" max="12197" width="9.140625" style="9"/>
    <col min="12198" max="12200" width="7.5703125" style="9" customWidth="1"/>
    <col min="12201" max="12201" width="10.28515625" style="9" customWidth="1"/>
    <col min="12202" max="12202" width="10.5703125" style="9" customWidth="1"/>
    <col min="12203" max="12203" width="11.140625" style="9" customWidth="1"/>
    <col min="12204" max="12204" width="10.42578125" style="9" customWidth="1"/>
    <col min="12205" max="12214" width="11" style="9" customWidth="1"/>
    <col min="12215" max="12215" width="9.140625" style="9" customWidth="1"/>
    <col min="12216" max="12216" width="6.85546875" style="9" customWidth="1"/>
    <col min="12217" max="12217" width="15" style="9" bestFit="1" customWidth="1"/>
    <col min="12218" max="12442" width="9.140625" style="9"/>
    <col min="12443" max="12443" width="4" style="9" customWidth="1"/>
    <col min="12444" max="12444" width="24.42578125" style="9" customWidth="1"/>
    <col min="12445" max="12445" width="19.85546875" style="9" customWidth="1"/>
    <col min="12446" max="12446" width="9.28515625" style="9" customWidth="1"/>
    <col min="12447" max="12447" width="10" style="9" customWidth="1"/>
    <col min="12448" max="12448" width="8.42578125" style="9" customWidth="1"/>
    <col min="12449" max="12449" width="12.28515625" style="9" customWidth="1"/>
    <col min="12450" max="12450" width="7.5703125" style="9" customWidth="1"/>
    <col min="12451" max="12451" width="7.85546875" style="9" customWidth="1"/>
    <col min="12452" max="12452" width="8.28515625" style="9" customWidth="1"/>
    <col min="12453" max="12453" width="9.140625" style="9"/>
    <col min="12454" max="12456" width="7.5703125" style="9" customWidth="1"/>
    <col min="12457" max="12457" width="10.28515625" style="9" customWidth="1"/>
    <col min="12458" max="12458" width="10.5703125" style="9" customWidth="1"/>
    <col min="12459" max="12459" width="11.140625" style="9" customWidth="1"/>
    <col min="12460" max="12460" width="10.42578125" style="9" customWidth="1"/>
    <col min="12461" max="12470" width="11" style="9" customWidth="1"/>
    <col min="12471" max="12471" width="9.140625" style="9" customWidth="1"/>
    <col min="12472" max="12472" width="6.85546875" style="9" customWidth="1"/>
    <col min="12473" max="12473" width="15" style="9" bestFit="1" customWidth="1"/>
    <col min="12474" max="12698" width="9.140625" style="9"/>
    <col min="12699" max="12699" width="4" style="9" customWidth="1"/>
    <col min="12700" max="12700" width="24.42578125" style="9" customWidth="1"/>
    <col min="12701" max="12701" width="19.85546875" style="9" customWidth="1"/>
    <col min="12702" max="12702" width="9.28515625" style="9" customWidth="1"/>
    <col min="12703" max="12703" width="10" style="9" customWidth="1"/>
    <col min="12704" max="12704" width="8.42578125" style="9" customWidth="1"/>
    <col min="12705" max="12705" width="12.28515625" style="9" customWidth="1"/>
    <col min="12706" max="12706" width="7.5703125" style="9" customWidth="1"/>
    <col min="12707" max="12707" width="7.85546875" style="9" customWidth="1"/>
    <col min="12708" max="12708" width="8.28515625" style="9" customWidth="1"/>
    <col min="12709" max="12709" width="9.140625" style="9"/>
    <col min="12710" max="12712" width="7.5703125" style="9" customWidth="1"/>
    <col min="12713" max="12713" width="10.28515625" style="9" customWidth="1"/>
    <col min="12714" max="12714" width="10.5703125" style="9" customWidth="1"/>
    <col min="12715" max="12715" width="11.140625" style="9" customWidth="1"/>
    <col min="12716" max="12716" width="10.42578125" style="9" customWidth="1"/>
    <col min="12717" max="12726" width="11" style="9" customWidth="1"/>
    <col min="12727" max="12727" width="9.140625" style="9" customWidth="1"/>
    <col min="12728" max="12728" width="6.85546875" style="9" customWidth="1"/>
    <col min="12729" max="12729" width="15" style="9" bestFit="1" customWidth="1"/>
    <col min="12730" max="12954" width="9.140625" style="9"/>
    <col min="12955" max="12955" width="4" style="9" customWidth="1"/>
    <col min="12956" max="12956" width="24.42578125" style="9" customWidth="1"/>
    <col min="12957" max="12957" width="19.85546875" style="9" customWidth="1"/>
    <col min="12958" max="12958" width="9.28515625" style="9" customWidth="1"/>
    <col min="12959" max="12959" width="10" style="9" customWidth="1"/>
    <col min="12960" max="12960" width="8.42578125" style="9" customWidth="1"/>
    <col min="12961" max="12961" width="12.28515625" style="9" customWidth="1"/>
    <col min="12962" max="12962" width="7.5703125" style="9" customWidth="1"/>
    <col min="12963" max="12963" width="7.85546875" style="9" customWidth="1"/>
    <col min="12964" max="12964" width="8.28515625" style="9" customWidth="1"/>
    <col min="12965" max="12965" width="9.140625" style="9"/>
    <col min="12966" max="12968" width="7.5703125" style="9" customWidth="1"/>
    <col min="12969" max="12969" width="10.28515625" style="9" customWidth="1"/>
    <col min="12970" max="12970" width="10.5703125" style="9" customWidth="1"/>
    <col min="12971" max="12971" width="11.140625" style="9" customWidth="1"/>
    <col min="12972" max="12972" width="10.42578125" style="9" customWidth="1"/>
    <col min="12973" max="12982" width="11" style="9" customWidth="1"/>
    <col min="12983" max="12983" width="9.140625" style="9" customWidth="1"/>
    <col min="12984" max="12984" width="6.85546875" style="9" customWidth="1"/>
    <col min="12985" max="12985" width="15" style="9" bestFit="1" customWidth="1"/>
    <col min="12986" max="13210" width="9.140625" style="9"/>
    <col min="13211" max="13211" width="4" style="9" customWidth="1"/>
    <col min="13212" max="13212" width="24.42578125" style="9" customWidth="1"/>
    <col min="13213" max="13213" width="19.85546875" style="9" customWidth="1"/>
    <col min="13214" max="13214" width="9.28515625" style="9" customWidth="1"/>
    <col min="13215" max="13215" width="10" style="9" customWidth="1"/>
    <col min="13216" max="13216" width="8.42578125" style="9" customWidth="1"/>
    <col min="13217" max="13217" width="12.28515625" style="9" customWidth="1"/>
    <col min="13218" max="13218" width="7.5703125" style="9" customWidth="1"/>
    <col min="13219" max="13219" width="7.85546875" style="9" customWidth="1"/>
    <col min="13220" max="13220" width="8.28515625" style="9" customWidth="1"/>
    <col min="13221" max="13221" width="9.140625" style="9"/>
    <col min="13222" max="13224" width="7.5703125" style="9" customWidth="1"/>
    <col min="13225" max="13225" width="10.28515625" style="9" customWidth="1"/>
    <col min="13226" max="13226" width="10.5703125" style="9" customWidth="1"/>
    <col min="13227" max="13227" width="11.140625" style="9" customWidth="1"/>
    <col min="13228" max="13228" width="10.42578125" style="9" customWidth="1"/>
    <col min="13229" max="13238" width="11" style="9" customWidth="1"/>
    <col min="13239" max="13239" width="9.140625" style="9" customWidth="1"/>
    <col min="13240" max="13240" width="6.85546875" style="9" customWidth="1"/>
    <col min="13241" max="13241" width="15" style="9" bestFit="1" customWidth="1"/>
    <col min="13242" max="13466" width="9.140625" style="9"/>
    <col min="13467" max="13467" width="4" style="9" customWidth="1"/>
    <col min="13468" max="13468" width="24.42578125" style="9" customWidth="1"/>
    <col min="13469" max="13469" width="19.85546875" style="9" customWidth="1"/>
    <col min="13470" max="13470" width="9.28515625" style="9" customWidth="1"/>
    <col min="13471" max="13471" width="10" style="9" customWidth="1"/>
    <col min="13472" max="13472" width="8.42578125" style="9" customWidth="1"/>
    <col min="13473" max="13473" width="12.28515625" style="9" customWidth="1"/>
    <col min="13474" max="13474" width="7.5703125" style="9" customWidth="1"/>
    <col min="13475" max="13475" width="7.85546875" style="9" customWidth="1"/>
    <col min="13476" max="13476" width="8.28515625" style="9" customWidth="1"/>
    <col min="13477" max="13477" width="9.140625" style="9"/>
    <col min="13478" max="13480" width="7.5703125" style="9" customWidth="1"/>
    <col min="13481" max="13481" width="10.28515625" style="9" customWidth="1"/>
    <col min="13482" max="13482" width="10.5703125" style="9" customWidth="1"/>
    <col min="13483" max="13483" width="11.140625" style="9" customWidth="1"/>
    <col min="13484" max="13484" width="10.42578125" style="9" customWidth="1"/>
    <col min="13485" max="13494" width="11" style="9" customWidth="1"/>
    <col min="13495" max="13495" width="9.140625" style="9" customWidth="1"/>
    <col min="13496" max="13496" width="6.85546875" style="9" customWidth="1"/>
    <col min="13497" max="13497" width="15" style="9" bestFit="1" customWidth="1"/>
    <col min="13498" max="13722" width="9.140625" style="9"/>
    <col min="13723" max="13723" width="4" style="9" customWidth="1"/>
    <col min="13724" max="13724" width="24.42578125" style="9" customWidth="1"/>
    <col min="13725" max="13725" width="19.85546875" style="9" customWidth="1"/>
    <col min="13726" max="13726" width="9.28515625" style="9" customWidth="1"/>
    <col min="13727" max="13727" width="10" style="9" customWidth="1"/>
    <col min="13728" max="13728" width="8.42578125" style="9" customWidth="1"/>
    <col min="13729" max="13729" width="12.28515625" style="9" customWidth="1"/>
    <col min="13730" max="13730" width="7.5703125" style="9" customWidth="1"/>
    <col min="13731" max="13731" width="7.85546875" style="9" customWidth="1"/>
    <col min="13732" max="13732" width="8.28515625" style="9" customWidth="1"/>
    <col min="13733" max="13733" width="9.140625" style="9"/>
    <col min="13734" max="13736" width="7.5703125" style="9" customWidth="1"/>
    <col min="13737" max="13737" width="10.28515625" style="9" customWidth="1"/>
    <col min="13738" max="13738" width="10.5703125" style="9" customWidth="1"/>
    <col min="13739" max="13739" width="11.140625" style="9" customWidth="1"/>
    <col min="13740" max="13740" width="10.42578125" style="9" customWidth="1"/>
    <col min="13741" max="13750" width="11" style="9" customWidth="1"/>
    <col min="13751" max="13751" width="9.140625" style="9" customWidth="1"/>
    <col min="13752" max="13752" width="6.85546875" style="9" customWidth="1"/>
    <col min="13753" max="13753" width="15" style="9" bestFit="1" customWidth="1"/>
    <col min="13754" max="13978" width="9.140625" style="9"/>
    <col min="13979" max="13979" width="4" style="9" customWidth="1"/>
    <col min="13980" max="13980" width="24.42578125" style="9" customWidth="1"/>
    <col min="13981" max="13981" width="19.85546875" style="9" customWidth="1"/>
    <col min="13982" max="13982" width="9.28515625" style="9" customWidth="1"/>
    <col min="13983" max="13983" width="10" style="9" customWidth="1"/>
    <col min="13984" max="13984" width="8.42578125" style="9" customWidth="1"/>
    <col min="13985" max="13985" width="12.28515625" style="9" customWidth="1"/>
    <col min="13986" max="13986" width="7.5703125" style="9" customWidth="1"/>
    <col min="13987" max="13987" width="7.85546875" style="9" customWidth="1"/>
    <col min="13988" max="13988" width="8.28515625" style="9" customWidth="1"/>
    <col min="13989" max="13989" width="9.140625" style="9"/>
    <col min="13990" max="13992" width="7.5703125" style="9" customWidth="1"/>
    <col min="13993" max="13993" width="10.28515625" style="9" customWidth="1"/>
    <col min="13994" max="13994" width="10.5703125" style="9" customWidth="1"/>
    <col min="13995" max="13995" width="11.140625" style="9" customWidth="1"/>
    <col min="13996" max="13996" width="10.42578125" style="9" customWidth="1"/>
    <col min="13997" max="14006" width="11" style="9" customWidth="1"/>
    <col min="14007" max="14007" width="9.140625" style="9" customWidth="1"/>
    <col min="14008" max="14008" width="6.85546875" style="9" customWidth="1"/>
    <col min="14009" max="14009" width="15" style="9" bestFit="1" customWidth="1"/>
    <col min="14010" max="14234" width="9.140625" style="9"/>
    <col min="14235" max="14235" width="4" style="9" customWidth="1"/>
    <col min="14236" max="14236" width="24.42578125" style="9" customWidth="1"/>
    <col min="14237" max="14237" width="19.85546875" style="9" customWidth="1"/>
    <col min="14238" max="14238" width="9.28515625" style="9" customWidth="1"/>
    <col min="14239" max="14239" width="10" style="9" customWidth="1"/>
    <col min="14240" max="14240" width="8.42578125" style="9" customWidth="1"/>
    <col min="14241" max="14241" width="12.28515625" style="9" customWidth="1"/>
    <col min="14242" max="14242" width="7.5703125" style="9" customWidth="1"/>
    <col min="14243" max="14243" width="7.85546875" style="9" customWidth="1"/>
    <col min="14244" max="14244" width="8.28515625" style="9" customWidth="1"/>
    <col min="14245" max="14245" width="9.140625" style="9"/>
    <col min="14246" max="14248" width="7.5703125" style="9" customWidth="1"/>
    <col min="14249" max="14249" width="10.28515625" style="9" customWidth="1"/>
    <col min="14250" max="14250" width="10.5703125" style="9" customWidth="1"/>
    <col min="14251" max="14251" width="11.140625" style="9" customWidth="1"/>
    <col min="14252" max="14252" width="10.42578125" style="9" customWidth="1"/>
    <col min="14253" max="14262" width="11" style="9" customWidth="1"/>
    <col min="14263" max="14263" width="9.140625" style="9" customWidth="1"/>
    <col min="14264" max="14264" width="6.85546875" style="9" customWidth="1"/>
    <col min="14265" max="14265" width="15" style="9" bestFit="1" customWidth="1"/>
    <col min="14266" max="14490" width="9.140625" style="9"/>
    <col min="14491" max="14491" width="4" style="9" customWidth="1"/>
    <col min="14492" max="14492" width="24.42578125" style="9" customWidth="1"/>
    <col min="14493" max="14493" width="19.85546875" style="9" customWidth="1"/>
    <col min="14494" max="14494" width="9.28515625" style="9" customWidth="1"/>
    <col min="14495" max="14495" width="10" style="9" customWidth="1"/>
    <col min="14496" max="14496" width="8.42578125" style="9" customWidth="1"/>
    <col min="14497" max="14497" width="12.28515625" style="9" customWidth="1"/>
    <col min="14498" max="14498" width="7.5703125" style="9" customWidth="1"/>
    <col min="14499" max="14499" width="7.85546875" style="9" customWidth="1"/>
    <col min="14500" max="14500" width="8.28515625" style="9" customWidth="1"/>
    <col min="14501" max="14501" width="9.140625" style="9"/>
    <col min="14502" max="14504" width="7.5703125" style="9" customWidth="1"/>
    <col min="14505" max="14505" width="10.28515625" style="9" customWidth="1"/>
    <col min="14506" max="14506" width="10.5703125" style="9" customWidth="1"/>
    <col min="14507" max="14507" width="11.140625" style="9" customWidth="1"/>
    <col min="14508" max="14508" width="10.42578125" style="9" customWidth="1"/>
    <col min="14509" max="14518" width="11" style="9" customWidth="1"/>
    <col min="14519" max="14519" width="9.140625" style="9" customWidth="1"/>
    <col min="14520" max="14520" width="6.85546875" style="9" customWidth="1"/>
    <col min="14521" max="14521" width="15" style="9" bestFit="1" customWidth="1"/>
    <col min="14522" max="14746" width="9.140625" style="9"/>
    <col min="14747" max="14747" width="4" style="9" customWidth="1"/>
    <col min="14748" max="14748" width="24.42578125" style="9" customWidth="1"/>
    <col min="14749" max="14749" width="19.85546875" style="9" customWidth="1"/>
    <col min="14750" max="14750" width="9.28515625" style="9" customWidth="1"/>
    <col min="14751" max="14751" width="10" style="9" customWidth="1"/>
    <col min="14752" max="14752" width="8.42578125" style="9" customWidth="1"/>
    <col min="14753" max="14753" width="12.28515625" style="9" customWidth="1"/>
    <col min="14754" max="14754" width="7.5703125" style="9" customWidth="1"/>
    <col min="14755" max="14755" width="7.85546875" style="9" customWidth="1"/>
    <col min="14756" max="14756" width="8.28515625" style="9" customWidth="1"/>
    <col min="14757" max="14757" width="9.140625" style="9"/>
    <col min="14758" max="14760" width="7.5703125" style="9" customWidth="1"/>
    <col min="14761" max="14761" width="10.28515625" style="9" customWidth="1"/>
    <col min="14762" max="14762" width="10.5703125" style="9" customWidth="1"/>
    <col min="14763" max="14763" width="11.140625" style="9" customWidth="1"/>
    <col min="14764" max="14764" width="10.42578125" style="9" customWidth="1"/>
    <col min="14765" max="14774" width="11" style="9" customWidth="1"/>
    <col min="14775" max="14775" width="9.140625" style="9" customWidth="1"/>
    <col min="14776" max="14776" width="6.85546875" style="9" customWidth="1"/>
    <col min="14777" max="14777" width="15" style="9" bestFit="1" customWidth="1"/>
    <col min="14778" max="15002" width="9.140625" style="9"/>
    <col min="15003" max="15003" width="4" style="9" customWidth="1"/>
    <col min="15004" max="15004" width="24.42578125" style="9" customWidth="1"/>
    <col min="15005" max="15005" width="19.85546875" style="9" customWidth="1"/>
    <col min="15006" max="15006" width="9.28515625" style="9" customWidth="1"/>
    <col min="15007" max="15007" width="10" style="9" customWidth="1"/>
    <col min="15008" max="15008" width="8.42578125" style="9" customWidth="1"/>
    <col min="15009" max="15009" width="12.28515625" style="9" customWidth="1"/>
    <col min="15010" max="15010" width="7.5703125" style="9" customWidth="1"/>
    <col min="15011" max="15011" width="7.85546875" style="9" customWidth="1"/>
    <col min="15012" max="15012" width="8.28515625" style="9" customWidth="1"/>
    <col min="15013" max="15013" width="9.140625" style="9"/>
    <col min="15014" max="15016" width="7.5703125" style="9" customWidth="1"/>
    <col min="15017" max="15017" width="10.28515625" style="9" customWidth="1"/>
    <col min="15018" max="15018" width="10.5703125" style="9" customWidth="1"/>
    <col min="15019" max="15019" width="11.140625" style="9" customWidth="1"/>
    <col min="15020" max="15020" width="10.42578125" style="9" customWidth="1"/>
    <col min="15021" max="15030" width="11" style="9" customWidth="1"/>
    <col min="15031" max="15031" width="9.140625" style="9" customWidth="1"/>
    <col min="15032" max="15032" width="6.85546875" style="9" customWidth="1"/>
    <col min="15033" max="15033" width="15" style="9" bestFit="1" customWidth="1"/>
    <col min="15034" max="15258" width="9.140625" style="9"/>
    <col min="15259" max="15259" width="4" style="9" customWidth="1"/>
    <col min="15260" max="15260" width="24.42578125" style="9" customWidth="1"/>
    <col min="15261" max="15261" width="19.85546875" style="9" customWidth="1"/>
    <col min="15262" max="15262" width="9.28515625" style="9" customWidth="1"/>
    <col min="15263" max="15263" width="10" style="9" customWidth="1"/>
    <col min="15264" max="15264" width="8.42578125" style="9" customWidth="1"/>
    <col min="15265" max="15265" width="12.28515625" style="9" customWidth="1"/>
    <col min="15266" max="15266" width="7.5703125" style="9" customWidth="1"/>
    <col min="15267" max="15267" width="7.85546875" style="9" customWidth="1"/>
    <col min="15268" max="15268" width="8.28515625" style="9" customWidth="1"/>
    <col min="15269" max="15269" width="9.140625" style="9"/>
    <col min="15270" max="15272" width="7.5703125" style="9" customWidth="1"/>
    <col min="15273" max="15273" width="10.28515625" style="9" customWidth="1"/>
    <col min="15274" max="15274" width="10.5703125" style="9" customWidth="1"/>
    <col min="15275" max="15275" width="11.140625" style="9" customWidth="1"/>
    <col min="15276" max="15276" width="10.42578125" style="9" customWidth="1"/>
    <col min="15277" max="15286" width="11" style="9" customWidth="1"/>
    <col min="15287" max="15287" width="9.140625" style="9" customWidth="1"/>
    <col min="15288" max="15288" width="6.85546875" style="9" customWidth="1"/>
    <col min="15289" max="15289" width="15" style="9" bestFit="1" customWidth="1"/>
    <col min="15290" max="15514" width="9.140625" style="9"/>
    <col min="15515" max="15515" width="4" style="9" customWidth="1"/>
    <col min="15516" max="15516" width="24.42578125" style="9" customWidth="1"/>
    <col min="15517" max="15517" width="19.85546875" style="9" customWidth="1"/>
    <col min="15518" max="15518" width="9.28515625" style="9" customWidth="1"/>
    <col min="15519" max="15519" width="10" style="9" customWidth="1"/>
    <col min="15520" max="15520" width="8.42578125" style="9" customWidth="1"/>
    <col min="15521" max="15521" width="12.28515625" style="9" customWidth="1"/>
    <col min="15522" max="15522" width="7.5703125" style="9" customWidth="1"/>
    <col min="15523" max="15523" width="7.85546875" style="9" customWidth="1"/>
    <col min="15524" max="15524" width="8.28515625" style="9" customWidth="1"/>
    <col min="15525" max="15525" width="9.140625" style="9"/>
    <col min="15526" max="15528" width="7.5703125" style="9" customWidth="1"/>
    <col min="15529" max="15529" width="10.28515625" style="9" customWidth="1"/>
    <col min="15530" max="15530" width="10.5703125" style="9" customWidth="1"/>
    <col min="15531" max="15531" width="11.140625" style="9" customWidth="1"/>
    <col min="15532" max="15532" width="10.42578125" style="9" customWidth="1"/>
    <col min="15533" max="15542" width="11" style="9" customWidth="1"/>
    <col min="15543" max="15543" width="9.140625" style="9" customWidth="1"/>
    <col min="15544" max="15544" width="6.85546875" style="9" customWidth="1"/>
    <col min="15545" max="15545" width="15" style="9" bestFit="1" customWidth="1"/>
    <col min="15546" max="15770" width="9.140625" style="9"/>
    <col min="15771" max="15771" width="4" style="9" customWidth="1"/>
    <col min="15772" max="15772" width="24.42578125" style="9" customWidth="1"/>
    <col min="15773" max="15773" width="19.85546875" style="9" customWidth="1"/>
    <col min="15774" max="15774" width="9.28515625" style="9" customWidth="1"/>
    <col min="15775" max="15775" width="10" style="9" customWidth="1"/>
    <col min="15776" max="15776" width="8.42578125" style="9" customWidth="1"/>
    <col min="15777" max="15777" width="12.28515625" style="9" customWidth="1"/>
    <col min="15778" max="15778" width="7.5703125" style="9" customWidth="1"/>
    <col min="15779" max="15779" width="7.85546875" style="9" customWidth="1"/>
    <col min="15780" max="15780" width="8.28515625" style="9" customWidth="1"/>
    <col min="15781" max="15781" width="9.140625" style="9"/>
    <col min="15782" max="15784" width="7.5703125" style="9" customWidth="1"/>
    <col min="15785" max="15785" width="10.28515625" style="9" customWidth="1"/>
    <col min="15786" max="15786" width="10.5703125" style="9" customWidth="1"/>
    <col min="15787" max="15787" width="11.140625" style="9" customWidth="1"/>
    <col min="15788" max="15788" width="10.42578125" style="9" customWidth="1"/>
    <col min="15789" max="15798" width="11" style="9" customWidth="1"/>
    <col min="15799" max="15799" width="9.140625" style="9" customWidth="1"/>
    <col min="15800" max="15800" width="6.85546875" style="9" customWidth="1"/>
    <col min="15801" max="15801" width="15" style="9" bestFit="1" customWidth="1"/>
    <col min="15802" max="16026" width="9.140625" style="9"/>
    <col min="16027" max="16027" width="4" style="9" customWidth="1"/>
    <col min="16028" max="16028" width="24.42578125" style="9" customWidth="1"/>
    <col min="16029" max="16029" width="19.85546875" style="9" customWidth="1"/>
    <col min="16030" max="16030" width="9.28515625" style="9" customWidth="1"/>
    <col min="16031" max="16031" width="10" style="9" customWidth="1"/>
    <col min="16032" max="16032" width="8.42578125" style="9" customWidth="1"/>
    <col min="16033" max="16033" width="12.28515625" style="9" customWidth="1"/>
    <col min="16034" max="16034" width="7.5703125" style="9" customWidth="1"/>
    <col min="16035" max="16035" width="7.85546875" style="9" customWidth="1"/>
    <col min="16036" max="16036" width="8.28515625" style="9" customWidth="1"/>
    <col min="16037" max="16037" width="9.140625" style="9"/>
    <col min="16038" max="16040" width="7.5703125" style="9" customWidth="1"/>
    <col min="16041" max="16041" width="10.28515625" style="9" customWidth="1"/>
    <col min="16042" max="16042" width="10.5703125" style="9" customWidth="1"/>
    <col min="16043" max="16043" width="11.140625" style="9" customWidth="1"/>
    <col min="16044" max="16044" width="10.42578125" style="9" customWidth="1"/>
    <col min="16045" max="16054" width="11" style="9" customWidth="1"/>
    <col min="16055" max="16055" width="9.140625" style="9" customWidth="1"/>
    <col min="16056" max="16056" width="6.85546875" style="9" customWidth="1"/>
    <col min="16057" max="16057" width="15" style="9" bestFit="1" customWidth="1"/>
    <col min="16058" max="16384" width="9.140625" style="9"/>
  </cols>
  <sheetData>
    <row r="2" spans="1:21" ht="63.75">
      <c r="A2" s="1" t="s">
        <v>0</v>
      </c>
      <c r="B2" s="2" t="s">
        <v>1</v>
      </c>
      <c r="C2" s="165" t="s">
        <v>208</v>
      </c>
      <c r="D2" s="165" t="s">
        <v>209</v>
      </c>
      <c r="E2" s="165" t="s">
        <v>210</v>
      </c>
      <c r="F2" s="99" t="s">
        <v>153</v>
      </c>
      <c r="G2" s="99" t="s">
        <v>154</v>
      </c>
      <c r="H2" s="111" t="s">
        <v>155</v>
      </c>
      <c r="I2" s="100" t="s">
        <v>156</v>
      </c>
      <c r="J2" s="111" t="s">
        <v>165</v>
      </c>
      <c r="K2" s="100" t="s">
        <v>158</v>
      </c>
      <c r="L2" s="101" t="s">
        <v>159</v>
      </c>
      <c r="M2" s="100" t="s">
        <v>160</v>
      </c>
      <c r="N2" s="102" t="s">
        <v>161</v>
      </c>
      <c r="O2" s="100" t="s">
        <v>162</v>
      </c>
      <c r="P2" s="67" t="s">
        <v>180</v>
      </c>
      <c r="Q2" s="66" t="s">
        <v>174</v>
      </c>
      <c r="R2" s="67" t="s">
        <v>181</v>
      </c>
      <c r="S2" s="66" t="s">
        <v>173</v>
      </c>
      <c r="T2" s="67" t="s">
        <v>182</v>
      </c>
      <c r="U2" s="66" t="s">
        <v>172</v>
      </c>
    </row>
    <row r="3" spans="1:21">
      <c r="A3" s="1"/>
      <c r="B3" s="2"/>
      <c r="C3" s="2"/>
      <c r="D3" s="2"/>
      <c r="E3" s="2"/>
      <c r="F3" s="99"/>
      <c r="G3" s="99"/>
      <c r="H3" s="111"/>
      <c r="I3" s="100"/>
      <c r="J3" s="111"/>
      <c r="K3" s="100"/>
      <c r="L3" s="101">
        <v>2</v>
      </c>
      <c r="M3" s="100"/>
      <c r="N3" s="102">
        <v>10</v>
      </c>
      <c r="O3" s="100"/>
      <c r="P3" s="102">
        <v>3</v>
      </c>
      <c r="Q3" s="100"/>
      <c r="R3" s="102">
        <v>4</v>
      </c>
      <c r="S3" s="100"/>
      <c r="T3" s="102">
        <v>5</v>
      </c>
      <c r="U3" s="100"/>
    </row>
    <row r="4" spans="1:21">
      <c r="A4" s="1"/>
      <c r="B4" s="2"/>
      <c r="C4" s="2"/>
      <c r="D4" s="2"/>
      <c r="E4" s="2"/>
      <c r="F4" s="99"/>
      <c r="G4" s="99"/>
      <c r="H4" s="111"/>
      <c r="I4" s="100"/>
      <c r="J4" s="111"/>
      <c r="K4" s="100"/>
      <c r="L4" s="101">
        <v>12</v>
      </c>
      <c r="M4" s="100"/>
      <c r="N4" s="102">
        <v>12</v>
      </c>
      <c r="O4" s="100"/>
      <c r="P4" s="102">
        <v>12</v>
      </c>
      <c r="Q4" s="100"/>
      <c r="R4" s="102">
        <v>12</v>
      </c>
      <c r="S4" s="100"/>
      <c r="T4" s="102">
        <v>12</v>
      </c>
      <c r="U4" s="100"/>
    </row>
    <row r="5" spans="1:21" ht="26.25" customHeight="1">
      <c r="A5" s="25">
        <v>29</v>
      </c>
      <c r="B5" s="25" t="s">
        <v>105</v>
      </c>
      <c r="C5" s="25">
        <v>884</v>
      </c>
      <c r="D5" s="25">
        <v>62</v>
      </c>
      <c r="E5" s="25">
        <v>13</v>
      </c>
      <c r="F5" s="121">
        <v>1529</v>
      </c>
      <c r="G5" s="124">
        <v>22941</v>
      </c>
      <c r="H5" s="130">
        <v>3.2294999999999998</v>
      </c>
      <c r="I5" s="125">
        <f>G5*H5</f>
        <v>74087.959499999997</v>
      </c>
      <c r="J5" s="128">
        <v>124596</v>
      </c>
      <c r="K5" s="129">
        <f>J5*H5</f>
        <v>402382.78199999995</v>
      </c>
      <c r="L5" s="128">
        <f>F5*$L$3*$L$4</f>
        <v>36696</v>
      </c>
      <c r="M5" s="129">
        <f>L5*H5</f>
        <v>118509.73199999999</v>
      </c>
      <c r="N5" s="126">
        <f>F5*$N$3*$N$4</f>
        <v>183480</v>
      </c>
      <c r="O5" s="126">
        <f>N5*H5</f>
        <v>592548.65999999992</v>
      </c>
      <c r="P5" s="126">
        <f>F5*$P$3*$P$4</f>
        <v>55044</v>
      </c>
      <c r="Q5" s="126">
        <f>P5*H5</f>
        <v>177764.598</v>
      </c>
      <c r="R5" s="126">
        <f>F5*$R$3*$R$4</f>
        <v>73392</v>
      </c>
      <c r="S5" s="126">
        <f>R5*H5</f>
        <v>237019.46399999998</v>
      </c>
      <c r="T5" s="126">
        <f>F5*$T$3*$T$4</f>
        <v>91740</v>
      </c>
      <c r="U5" s="126">
        <f>T5*H5</f>
        <v>296274.32999999996</v>
      </c>
    </row>
    <row r="6" spans="1:21" ht="39.75" hidden="1" customHeight="1">
      <c r="A6" s="25">
        <v>30</v>
      </c>
      <c r="B6" s="25" t="s">
        <v>107</v>
      </c>
      <c r="C6" s="25"/>
      <c r="D6" s="25"/>
      <c r="E6" s="25"/>
      <c r="F6" s="121">
        <v>1125</v>
      </c>
      <c r="G6" s="124">
        <v>3326</v>
      </c>
      <c r="H6" s="124"/>
      <c r="I6" s="125">
        <f t="shared" ref="I6:I11" si="0">G6*H6</f>
        <v>0</v>
      </c>
      <c r="J6" s="128">
        <v>249192</v>
      </c>
      <c r="K6" s="129">
        <f t="shared" ref="K6:K11" si="1">J6*H6</f>
        <v>0</v>
      </c>
      <c r="L6" s="128">
        <f t="shared" ref="L6:L11" si="2">F6*$L$3*$L$4</f>
        <v>27000</v>
      </c>
      <c r="M6" s="129">
        <f t="shared" ref="M6:M11" si="3">L6*H6</f>
        <v>0</v>
      </c>
      <c r="N6" s="126">
        <f t="shared" ref="N6:N11" si="4">F6*$N$3*$N$4</f>
        <v>135000</v>
      </c>
      <c r="O6" s="126">
        <f t="shared" ref="O6:O11" si="5">N6*H6</f>
        <v>0</v>
      </c>
      <c r="P6" s="126">
        <f t="shared" ref="P6:P11" si="6">F6*$P$3*$P$4</f>
        <v>40500</v>
      </c>
      <c r="Q6" s="126">
        <f t="shared" ref="Q6:Q11" si="7">P6*H6</f>
        <v>0</v>
      </c>
      <c r="R6" s="126">
        <f t="shared" ref="R6:R11" si="8">F6*$R$3*$R$4</f>
        <v>54000</v>
      </c>
      <c r="S6" s="126">
        <f t="shared" ref="S6:S11" si="9">R6*H6</f>
        <v>0</v>
      </c>
      <c r="T6" s="126">
        <f t="shared" ref="T6:T11" si="10">F6*$T$3*$T$4</f>
        <v>67500</v>
      </c>
      <c r="U6" s="126">
        <f t="shared" ref="U6:U11" si="11">T6*H6</f>
        <v>0</v>
      </c>
    </row>
    <row r="7" spans="1:21" ht="60.75" customHeight="1">
      <c r="A7" s="25">
        <v>31</v>
      </c>
      <c r="B7" s="25" t="s">
        <v>110</v>
      </c>
      <c r="C7" s="25">
        <v>870</v>
      </c>
      <c r="D7" s="25">
        <v>220</v>
      </c>
      <c r="E7" s="25">
        <v>56</v>
      </c>
      <c r="F7" s="121">
        <v>1485.5</v>
      </c>
      <c r="G7" s="124">
        <v>29160</v>
      </c>
      <c r="H7" s="130">
        <v>30.998999999999999</v>
      </c>
      <c r="I7" s="125">
        <f t="shared" si="0"/>
        <v>903930.84</v>
      </c>
      <c r="J7" s="128">
        <v>20332</v>
      </c>
      <c r="K7" s="129">
        <f t="shared" si="1"/>
        <v>630271.66799999995</v>
      </c>
      <c r="L7" s="128">
        <f t="shared" si="2"/>
        <v>35652</v>
      </c>
      <c r="M7" s="129">
        <f t="shared" si="3"/>
        <v>1105176.348</v>
      </c>
      <c r="N7" s="126">
        <f t="shared" si="4"/>
        <v>178260</v>
      </c>
      <c r="O7" s="126">
        <f t="shared" si="5"/>
        <v>5525881.7400000002</v>
      </c>
      <c r="P7" s="126">
        <f t="shared" si="6"/>
        <v>53478</v>
      </c>
      <c r="Q7" s="126">
        <f t="shared" si="7"/>
        <v>1657764.5219999999</v>
      </c>
      <c r="R7" s="126">
        <f t="shared" si="8"/>
        <v>71304</v>
      </c>
      <c r="S7" s="126">
        <f t="shared" si="9"/>
        <v>2210352.696</v>
      </c>
      <c r="T7" s="126">
        <f t="shared" si="10"/>
        <v>89130</v>
      </c>
      <c r="U7" s="126">
        <f t="shared" si="11"/>
        <v>2762940.87</v>
      </c>
    </row>
    <row r="8" spans="1:21" ht="60.75" customHeight="1">
      <c r="A8" s="25">
        <v>32</v>
      </c>
      <c r="B8" s="25" t="s">
        <v>113</v>
      </c>
      <c r="C8" s="25">
        <v>1695</v>
      </c>
      <c r="D8" s="25">
        <v>495</v>
      </c>
      <c r="E8" s="25">
        <v>84</v>
      </c>
      <c r="F8" s="121">
        <v>642.5</v>
      </c>
      <c r="G8" s="124">
        <v>4560</v>
      </c>
      <c r="H8" s="130">
        <v>25.76</v>
      </c>
      <c r="I8" s="125">
        <f t="shared" si="0"/>
        <v>117465.60000000001</v>
      </c>
      <c r="J8" s="128">
        <f>34874+37898</f>
        <v>72772</v>
      </c>
      <c r="K8" s="129">
        <f t="shared" si="1"/>
        <v>1874606.7200000002</v>
      </c>
      <c r="L8" s="128">
        <f t="shared" si="2"/>
        <v>15420</v>
      </c>
      <c r="M8" s="129">
        <f t="shared" si="3"/>
        <v>397219.2</v>
      </c>
      <c r="N8" s="126">
        <f t="shared" si="4"/>
        <v>77100</v>
      </c>
      <c r="O8" s="126">
        <f t="shared" si="5"/>
        <v>1986096.0000000002</v>
      </c>
      <c r="P8" s="126">
        <f t="shared" si="6"/>
        <v>23130</v>
      </c>
      <c r="Q8" s="126">
        <f t="shared" si="7"/>
        <v>595828.80000000005</v>
      </c>
      <c r="R8" s="126">
        <f t="shared" si="8"/>
        <v>30840</v>
      </c>
      <c r="S8" s="126">
        <f t="shared" si="9"/>
        <v>794438.4</v>
      </c>
      <c r="T8" s="126">
        <f t="shared" si="10"/>
        <v>38550</v>
      </c>
      <c r="U8" s="126">
        <f t="shared" si="11"/>
        <v>993048.00000000012</v>
      </c>
    </row>
    <row r="9" spans="1:21" ht="48.75" customHeight="1">
      <c r="A9" s="25">
        <v>33</v>
      </c>
      <c r="B9" s="14" t="s">
        <v>115</v>
      </c>
      <c r="C9" s="14">
        <v>608</v>
      </c>
      <c r="D9" s="14">
        <v>174</v>
      </c>
      <c r="E9" s="14">
        <v>51</v>
      </c>
      <c r="F9" s="121">
        <v>838.25</v>
      </c>
      <c r="G9" s="124">
        <v>14305</v>
      </c>
      <c r="H9" s="127">
        <v>4.8</v>
      </c>
      <c r="I9" s="125">
        <f t="shared" si="0"/>
        <v>68664</v>
      </c>
      <c r="J9" s="128">
        <f>5685+5231</f>
        <v>10916</v>
      </c>
      <c r="K9" s="129">
        <f t="shared" si="1"/>
        <v>52396.799999999996</v>
      </c>
      <c r="L9" s="128">
        <f t="shared" si="2"/>
        <v>20118</v>
      </c>
      <c r="M9" s="129">
        <f t="shared" si="3"/>
        <v>96566.399999999994</v>
      </c>
      <c r="N9" s="126">
        <f t="shared" si="4"/>
        <v>100590</v>
      </c>
      <c r="O9" s="126">
        <f t="shared" si="5"/>
        <v>482832</v>
      </c>
      <c r="P9" s="126">
        <f t="shared" si="6"/>
        <v>30177</v>
      </c>
      <c r="Q9" s="126">
        <f t="shared" si="7"/>
        <v>144849.60000000001</v>
      </c>
      <c r="R9" s="126">
        <f t="shared" si="8"/>
        <v>40236</v>
      </c>
      <c r="S9" s="126">
        <f t="shared" si="9"/>
        <v>193132.79999999999</v>
      </c>
      <c r="T9" s="126">
        <f t="shared" si="10"/>
        <v>50295</v>
      </c>
      <c r="U9" s="126">
        <f t="shared" si="11"/>
        <v>241416</v>
      </c>
    </row>
    <row r="10" spans="1:21" ht="85.5" customHeight="1">
      <c r="A10" s="25">
        <v>34</v>
      </c>
      <c r="B10" s="25" t="s">
        <v>117</v>
      </c>
      <c r="C10" s="25">
        <v>200</v>
      </c>
      <c r="D10" s="25">
        <v>65</v>
      </c>
      <c r="E10" s="25">
        <v>31</v>
      </c>
      <c r="F10" s="121">
        <v>310.5</v>
      </c>
      <c r="G10" s="124">
        <v>3830</v>
      </c>
      <c r="H10" s="130">
        <v>79.558000000000007</v>
      </c>
      <c r="I10" s="125">
        <f t="shared" si="0"/>
        <v>304707.14</v>
      </c>
      <c r="J10" s="128">
        <v>34874</v>
      </c>
      <c r="K10" s="129">
        <f t="shared" si="1"/>
        <v>2774505.6920000003</v>
      </c>
      <c r="L10" s="128">
        <f t="shared" si="2"/>
        <v>7452</v>
      </c>
      <c r="M10" s="129">
        <f t="shared" si="3"/>
        <v>592866.21600000001</v>
      </c>
      <c r="N10" s="126">
        <f t="shared" si="4"/>
        <v>37260</v>
      </c>
      <c r="O10" s="126">
        <f t="shared" si="5"/>
        <v>2964331.08</v>
      </c>
      <c r="P10" s="126">
        <f t="shared" si="6"/>
        <v>11178</v>
      </c>
      <c r="Q10" s="126">
        <f t="shared" si="7"/>
        <v>889299.32400000002</v>
      </c>
      <c r="R10" s="126">
        <f t="shared" si="8"/>
        <v>14904</v>
      </c>
      <c r="S10" s="126">
        <f t="shared" si="9"/>
        <v>1185732.432</v>
      </c>
      <c r="T10" s="126">
        <f t="shared" si="10"/>
        <v>18630</v>
      </c>
      <c r="U10" s="126">
        <f t="shared" si="11"/>
        <v>1482165.54</v>
      </c>
    </row>
    <row r="11" spans="1:21" ht="45" customHeight="1">
      <c r="A11" s="25">
        <v>35</v>
      </c>
      <c r="B11" s="25" t="s">
        <v>119</v>
      </c>
      <c r="C11" s="25">
        <v>542</v>
      </c>
      <c r="D11" s="25">
        <v>172</v>
      </c>
      <c r="E11" s="25">
        <v>46</v>
      </c>
      <c r="F11" s="121">
        <v>713</v>
      </c>
      <c r="G11" s="124">
        <v>13230</v>
      </c>
      <c r="H11" s="127">
        <v>0.36980000000000002</v>
      </c>
      <c r="I11" s="125">
        <f t="shared" si="0"/>
        <v>4892.4540000000006</v>
      </c>
      <c r="J11" s="128">
        <f>5733*14</f>
        <v>80262</v>
      </c>
      <c r="K11" s="129">
        <f t="shared" si="1"/>
        <v>29680.887600000002</v>
      </c>
      <c r="L11" s="128">
        <f t="shared" si="2"/>
        <v>17112</v>
      </c>
      <c r="M11" s="129">
        <f t="shared" si="3"/>
        <v>6328.0176000000001</v>
      </c>
      <c r="N11" s="126">
        <f t="shared" si="4"/>
        <v>85560</v>
      </c>
      <c r="O11" s="126">
        <f t="shared" si="5"/>
        <v>31640.088</v>
      </c>
      <c r="P11" s="126">
        <f t="shared" si="6"/>
        <v>25668</v>
      </c>
      <c r="Q11" s="126">
        <f t="shared" si="7"/>
        <v>9492.0264000000006</v>
      </c>
      <c r="R11" s="126">
        <f t="shared" si="8"/>
        <v>34224</v>
      </c>
      <c r="S11" s="126">
        <f t="shared" si="9"/>
        <v>12656.0352</v>
      </c>
      <c r="T11" s="126">
        <f t="shared" si="10"/>
        <v>42780</v>
      </c>
      <c r="U11" s="126">
        <f t="shared" si="11"/>
        <v>15820.044</v>
      </c>
    </row>
    <row r="12" spans="1:21">
      <c r="I12" s="120">
        <f>SUM(I5:I11)</f>
        <v>1473747.9934999999</v>
      </c>
      <c r="M12" s="90">
        <f>SUM(M5:M11)</f>
        <v>2316665.9135999996</v>
      </c>
      <c r="O12" s="90">
        <f>SUM(O5:O11)</f>
        <v>11583329.568</v>
      </c>
      <c r="Q12" s="90">
        <f>SUM(Q5:Q11)</f>
        <v>3474998.8703999999</v>
      </c>
      <c r="S12" s="90">
        <f>SUM(S5:S11)</f>
        <v>4633331.8271999992</v>
      </c>
      <c r="U12" s="90">
        <f>SUM(U5:U11)</f>
        <v>5791664.784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"/>
  <sheetViews>
    <sheetView topLeftCell="B1" workbookViewId="0">
      <selection activeCell="C2" sqref="C2:E2"/>
    </sheetView>
  </sheetViews>
  <sheetFormatPr defaultRowHeight="12.75"/>
  <cols>
    <col min="1" max="1" width="4" style="94" customWidth="1"/>
    <col min="2" max="5" width="24.42578125" style="94" customWidth="1"/>
    <col min="6" max="6" width="16.28515625" style="94" customWidth="1"/>
    <col min="7" max="7" width="15.5703125" style="95" customWidth="1"/>
    <col min="8" max="8" width="11.85546875" style="95" customWidth="1"/>
    <col min="9" max="9" width="15.42578125" style="96" customWidth="1"/>
    <col min="10" max="10" width="21.7109375" style="110" customWidth="1"/>
    <col min="11" max="11" width="9.85546875" style="94" bestFit="1" customWidth="1"/>
    <col min="12" max="12" width="14.42578125" style="94" customWidth="1"/>
    <col min="13" max="13" width="11.140625" style="115" bestFit="1" customWidth="1"/>
    <col min="14" max="14" width="11.7109375" style="94" customWidth="1"/>
    <col min="15" max="15" width="14.140625" style="115" customWidth="1"/>
    <col min="16" max="16" width="11.7109375" style="94" customWidth="1"/>
    <col min="17" max="17" width="14.140625" style="115" customWidth="1"/>
    <col min="18" max="18" width="13.7109375" style="94" customWidth="1"/>
    <col min="19" max="19" width="13.7109375" style="115" customWidth="1"/>
    <col min="20" max="20" width="13.7109375" style="94" customWidth="1"/>
    <col min="21" max="21" width="13.7109375" style="115" customWidth="1"/>
    <col min="22" max="204" width="9.140625" style="94"/>
    <col min="205" max="205" width="4" style="94" customWidth="1"/>
    <col min="206" max="206" width="24.42578125" style="94" customWidth="1"/>
    <col min="207" max="207" width="19.85546875" style="94" customWidth="1"/>
    <col min="208" max="208" width="9.28515625" style="94" customWidth="1"/>
    <col min="209" max="209" width="10" style="94" customWidth="1"/>
    <col min="210" max="210" width="8.42578125" style="94" customWidth="1"/>
    <col min="211" max="211" width="12.28515625" style="94" customWidth="1"/>
    <col min="212" max="212" width="7.5703125" style="94" customWidth="1"/>
    <col min="213" max="213" width="7.85546875" style="94" customWidth="1"/>
    <col min="214" max="214" width="8.28515625" style="94" customWidth="1"/>
    <col min="215" max="215" width="9.140625" style="94"/>
    <col min="216" max="218" width="7.5703125" style="94" customWidth="1"/>
    <col min="219" max="219" width="10.28515625" style="94" customWidth="1"/>
    <col min="220" max="220" width="10.5703125" style="94" customWidth="1"/>
    <col min="221" max="221" width="11.140625" style="94" customWidth="1"/>
    <col min="222" max="222" width="10.42578125" style="94" customWidth="1"/>
    <col min="223" max="232" width="11" style="94" customWidth="1"/>
    <col min="233" max="233" width="9.140625" style="94" customWidth="1"/>
    <col min="234" max="234" width="6.85546875" style="94" customWidth="1"/>
    <col min="235" max="235" width="15" style="94" bestFit="1" customWidth="1"/>
    <col min="236" max="460" width="9.140625" style="94"/>
    <col min="461" max="461" width="4" style="94" customWidth="1"/>
    <col min="462" max="462" width="24.42578125" style="94" customWidth="1"/>
    <col min="463" max="463" width="19.85546875" style="94" customWidth="1"/>
    <col min="464" max="464" width="9.28515625" style="94" customWidth="1"/>
    <col min="465" max="465" width="10" style="94" customWidth="1"/>
    <col min="466" max="466" width="8.42578125" style="94" customWidth="1"/>
    <col min="467" max="467" width="12.28515625" style="94" customWidth="1"/>
    <col min="468" max="468" width="7.5703125" style="94" customWidth="1"/>
    <col min="469" max="469" width="7.85546875" style="94" customWidth="1"/>
    <col min="470" max="470" width="8.28515625" style="94" customWidth="1"/>
    <col min="471" max="471" width="9.140625" style="94"/>
    <col min="472" max="474" width="7.5703125" style="94" customWidth="1"/>
    <col min="475" max="475" width="10.28515625" style="94" customWidth="1"/>
    <col min="476" max="476" width="10.5703125" style="94" customWidth="1"/>
    <col min="477" max="477" width="11.140625" style="94" customWidth="1"/>
    <col min="478" max="478" width="10.42578125" style="94" customWidth="1"/>
    <col min="479" max="488" width="11" style="94" customWidth="1"/>
    <col min="489" max="489" width="9.140625" style="94" customWidth="1"/>
    <col min="490" max="490" width="6.85546875" style="94" customWidth="1"/>
    <col min="491" max="491" width="15" style="94" bestFit="1" customWidth="1"/>
    <col min="492" max="716" width="9.140625" style="94"/>
    <col min="717" max="717" width="4" style="94" customWidth="1"/>
    <col min="718" max="718" width="24.42578125" style="94" customWidth="1"/>
    <col min="719" max="719" width="19.85546875" style="94" customWidth="1"/>
    <col min="720" max="720" width="9.28515625" style="94" customWidth="1"/>
    <col min="721" max="721" width="10" style="94" customWidth="1"/>
    <col min="722" max="722" width="8.42578125" style="94" customWidth="1"/>
    <col min="723" max="723" width="12.28515625" style="94" customWidth="1"/>
    <col min="724" max="724" width="7.5703125" style="94" customWidth="1"/>
    <col min="725" max="725" width="7.85546875" style="94" customWidth="1"/>
    <col min="726" max="726" width="8.28515625" style="94" customWidth="1"/>
    <col min="727" max="727" width="9.140625" style="94"/>
    <col min="728" max="730" width="7.5703125" style="94" customWidth="1"/>
    <col min="731" max="731" width="10.28515625" style="94" customWidth="1"/>
    <col min="732" max="732" width="10.5703125" style="94" customWidth="1"/>
    <col min="733" max="733" width="11.140625" style="94" customWidth="1"/>
    <col min="734" max="734" width="10.42578125" style="94" customWidth="1"/>
    <col min="735" max="744" width="11" style="94" customWidth="1"/>
    <col min="745" max="745" width="9.140625" style="94" customWidth="1"/>
    <col min="746" max="746" width="6.85546875" style="94" customWidth="1"/>
    <col min="747" max="747" width="15" style="94" bestFit="1" customWidth="1"/>
    <col min="748" max="972" width="9.140625" style="94"/>
    <col min="973" max="973" width="4" style="94" customWidth="1"/>
    <col min="974" max="974" width="24.42578125" style="94" customWidth="1"/>
    <col min="975" max="975" width="19.85546875" style="94" customWidth="1"/>
    <col min="976" max="976" width="9.28515625" style="94" customWidth="1"/>
    <col min="977" max="977" width="10" style="94" customWidth="1"/>
    <col min="978" max="978" width="8.42578125" style="94" customWidth="1"/>
    <col min="979" max="979" width="12.28515625" style="94" customWidth="1"/>
    <col min="980" max="980" width="7.5703125" style="94" customWidth="1"/>
    <col min="981" max="981" width="7.85546875" style="94" customWidth="1"/>
    <col min="982" max="982" width="8.28515625" style="94" customWidth="1"/>
    <col min="983" max="983" width="9.140625" style="94"/>
    <col min="984" max="986" width="7.5703125" style="94" customWidth="1"/>
    <col min="987" max="987" width="10.28515625" style="94" customWidth="1"/>
    <col min="988" max="988" width="10.5703125" style="94" customWidth="1"/>
    <col min="989" max="989" width="11.140625" style="94" customWidth="1"/>
    <col min="990" max="990" width="10.42578125" style="94" customWidth="1"/>
    <col min="991" max="1000" width="11" style="94" customWidth="1"/>
    <col min="1001" max="1001" width="9.140625" style="94" customWidth="1"/>
    <col min="1002" max="1002" width="6.85546875" style="94" customWidth="1"/>
    <col min="1003" max="1003" width="15" style="94" bestFit="1" customWidth="1"/>
    <col min="1004" max="1228" width="9.140625" style="94"/>
    <col min="1229" max="1229" width="4" style="94" customWidth="1"/>
    <col min="1230" max="1230" width="24.42578125" style="94" customWidth="1"/>
    <col min="1231" max="1231" width="19.85546875" style="94" customWidth="1"/>
    <col min="1232" max="1232" width="9.28515625" style="94" customWidth="1"/>
    <col min="1233" max="1233" width="10" style="94" customWidth="1"/>
    <col min="1234" max="1234" width="8.42578125" style="94" customWidth="1"/>
    <col min="1235" max="1235" width="12.28515625" style="94" customWidth="1"/>
    <col min="1236" max="1236" width="7.5703125" style="94" customWidth="1"/>
    <col min="1237" max="1237" width="7.85546875" style="94" customWidth="1"/>
    <col min="1238" max="1238" width="8.28515625" style="94" customWidth="1"/>
    <col min="1239" max="1239" width="9.140625" style="94"/>
    <col min="1240" max="1242" width="7.5703125" style="94" customWidth="1"/>
    <col min="1243" max="1243" width="10.28515625" style="94" customWidth="1"/>
    <col min="1244" max="1244" width="10.5703125" style="94" customWidth="1"/>
    <col min="1245" max="1245" width="11.140625" style="94" customWidth="1"/>
    <col min="1246" max="1246" width="10.42578125" style="94" customWidth="1"/>
    <col min="1247" max="1256" width="11" style="94" customWidth="1"/>
    <col min="1257" max="1257" width="9.140625" style="94" customWidth="1"/>
    <col min="1258" max="1258" width="6.85546875" style="94" customWidth="1"/>
    <col min="1259" max="1259" width="15" style="94" bestFit="1" customWidth="1"/>
    <col min="1260" max="1484" width="9.140625" style="94"/>
    <col min="1485" max="1485" width="4" style="94" customWidth="1"/>
    <col min="1486" max="1486" width="24.42578125" style="94" customWidth="1"/>
    <col min="1487" max="1487" width="19.85546875" style="94" customWidth="1"/>
    <col min="1488" max="1488" width="9.28515625" style="94" customWidth="1"/>
    <col min="1489" max="1489" width="10" style="94" customWidth="1"/>
    <col min="1490" max="1490" width="8.42578125" style="94" customWidth="1"/>
    <col min="1491" max="1491" width="12.28515625" style="94" customWidth="1"/>
    <col min="1492" max="1492" width="7.5703125" style="94" customWidth="1"/>
    <col min="1493" max="1493" width="7.85546875" style="94" customWidth="1"/>
    <col min="1494" max="1494" width="8.28515625" style="94" customWidth="1"/>
    <col min="1495" max="1495" width="9.140625" style="94"/>
    <col min="1496" max="1498" width="7.5703125" style="94" customWidth="1"/>
    <col min="1499" max="1499" width="10.28515625" style="94" customWidth="1"/>
    <col min="1500" max="1500" width="10.5703125" style="94" customWidth="1"/>
    <col min="1501" max="1501" width="11.140625" style="94" customWidth="1"/>
    <col min="1502" max="1502" width="10.42578125" style="94" customWidth="1"/>
    <col min="1503" max="1512" width="11" style="94" customWidth="1"/>
    <col min="1513" max="1513" width="9.140625" style="94" customWidth="1"/>
    <col min="1514" max="1514" width="6.85546875" style="94" customWidth="1"/>
    <col min="1515" max="1515" width="15" style="94" bestFit="1" customWidth="1"/>
    <col min="1516" max="1740" width="9.140625" style="94"/>
    <col min="1741" max="1741" width="4" style="94" customWidth="1"/>
    <col min="1742" max="1742" width="24.42578125" style="94" customWidth="1"/>
    <col min="1743" max="1743" width="19.85546875" style="94" customWidth="1"/>
    <col min="1744" max="1744" width="9.28515625" style="94" customWidth="1"/>
    <col min="1745" max="1745" width="10" style="94" customWidth="1"/>
    <col min="1746" max="1746" width="8.42578125" style="94" customWidth="1"/>
    <col min="1747" max="1747" width="12.28515625" style="94" customWidth="1"/>
    <col min="1748" max="1748" width="7.5703125" style="94" customWidth="1"/>
    <col min="1749" max="1749" width="7.85546875" style="94" customWidth="1"/>
    <col min="1750" max="1750" width="8.28515625" style="94" customWidth="1"/>
    <col min="1751" max="1751" width="9.140625" style="94"/>
    <col min="1752" max="1754" width="7.5703125" style="94" customWidth="1"/>
    <col min="1755" max="1755" width="10.28515625" style="94" customWidth="1"/>
    <col min="1756" max="1756" width="10.5703125" style="94" customWidth="1"/>
    <col min="1757" max="1757" width="11.140625" style="94" customWidth="1"/>
    <col min="1758" max="1758" width="10.42578125" style="94" customWidth="1"/>
    <col min="1759" max="1768" width="11" style="94" customWidth="1"/>
    <col min="1769" max="1769" width="9.140625" style="94" customWidth="1"/>
    <col min="1770" max="1770" width="6.85546875" style="94" customWidth="1"/>
    <col min="1771" max="1771" width="15" style="94" bestFit="1" customWidth="1"/>
    <col min="1772" max="1996" width="9.140625" style="94"/>
    <col min="1997" max="1997" width="4" style="94" customWidth="1"/>
    <col min="1998" max="1998" width="24.42578125" style="94" customWidth="1"/>
    <col min="1999" max="1999" width="19.85546875" style="94" customWidth="1"/>
    <col min="2000" max="2000" width="9.28515625" style="94" customWidth="1"/>
    <col min="2001" max="2001" width="10" style="94" customWidth="1"/>
    <col min="2002" max="2002" width="8.42578125" style="94" customWidth="1"/>
    <col min="2003" max="2003" width="12.28515625" style="94" customWidth="1"/>
    <col min="2004" max="2004" width="7.5703125" style="94" customWidth="1"/>
    <col min="2005" max="2005" width="7.85546875" style="94" customWidth="1"/>
    <col min="2006" max="2006" width="8.28515625" style="94" customWidth="1"/>
    <col min="2007" max="2007" width="9.140625" style="94"/>
    <col min="2008" max="2010" width="7.5703125" style="94" customWidth="1"/>
    <col min="2011" max="2011" width="10.28515625" style="94" customWidth="1"/>
    <col min="2012" max="2012" width="10.5703125" style="94" customWidth="1"/>
    <col min="2013" max="2013" width="11.140625" style="94" customWidth="1"/>
    <col min="2014" max="2014" width="10.42578125" style="94" customWidth="1"/>
    <col min="2015" max="2024" width="11" style="94" customWidth="1"/>
    <col min="2025" max="2025" width="9.140625" style="94" customWidth="1"/>
    <col min="2026" max="2026" width="6.85546875" style="94" customWidth="1"/>
    <col min="2027" max="2027" width="15" style="94" bestFit="1" customWidth="1"/>
    <col min="2028" max="2252" width="9.140625" style="94"/>
    <col min="2253" max="2253" width="4" style="94" customWidth="1"/>
    <col min="2254" max="2254" width="24.42578125" style="94" customWidth="1"/>
    <col min="2255" max="2255" width="19.85546875" style="94" customWidth="1"/>
    <col min="2256" max="2256" width="9.28515625" style="94" customWidth="1"/>
    <col min="2257" max="2257" width="10" style="94" customWidth="1"/>
    <col min="2258" max="2258" width="8.42578125" style="94" customWidth="1"/>
    <col min="2259" max="2259" width="12.28515625" style="94" customWidth="1"/>
    <col min="2260" max="2260" width="7.5703125" style="94" customWidth="1"/>
    <col min="2261" max="2261" width="7.85546875" style="94" customWidth="1"/>
    <col min="2262" max="2262" width="8.28515625" style="94" customWidth="1"/>
    <col min="2263" max="2263" width="9.140625" style="94"/>
    <col min="2264" max="2266" width="7.5703125" style="94" customWidth="1"/>
    <col min="2267" max="2267" width="10.28515625" style="94" customWidth="1"/>
    <col min="2268" max="2268" width="10.5703125" style="94" customWidth="1"/>
    <col min="2269" max="2269" width="11.140625" style="94" customWidth="1"/>
    <col min="2270" max="2270" width="10.42578125" style="94" customWidth="1"/>
    <col min="2271" max="2280" width="11" style="94" customWidth="1"/>
    <col min="2281" max="2281" width="9.140625" style="94" customWidth="1"/>
    <col min="2282" max="2282" width="6.85546875" style="94" customWidth="1"/>
    <col min="2283" max="2283" width="15" style="94" bestFit="1" customWidth="1"/>
    <col min="2284" max="2508" width="9.140625" style="94"/>
    <col min="2509" max="2509" width="4" style="94" customWidth="1"/>
    <col min="2510" max="2510" width="24.42578125" style="94" customWidth="1"/>
    <col min="2511" max="2511" width="19.85546875" style="94" customWidth="1"/>
    <col min="2512" max="2512" width="9.28515625" style="94" customWidth="1"/>
    <col min="2513" max="2513" width="10" style="94" customWidth="1"/>
    <col min="2514" max="2514" width="8.42578125" style="94" customWidth="1"/>
    <col min="2515" max="2515" width="12.28515625" style="94" customWidth="1"/>
    <col min="2516" max="2516" width="7.5703125" style="94" customWidth="1"/>
    <col min="2517" max="2517" width="7.85546875" style="94" customWidth="1"/>
    <col min="2518" max="2518" width="8.28515625" style="94" customWidth="1"/>
    <col min="2519" max="2519" width="9.140625" style="94"/>
    <col min="2520" max="2522" width="7.5703125" style="94" customWidth="1"/>
    <col min="2523" max="2523" width="10.28515625" style="94" customWidth="1"/>
    <col min="2524" max="2524" width="10.5703125" style="94" customWidth="1"/>
    <col min="2525" max="2525" width="11.140625" style="94" customWidth="1"/>
    <col min="2526" max="2526" width="10.42578125" style="94" customWidth="1"/>
    <col min="2527" max="2536" width="11" style="94" customWidth="1"/>
    <col min="2537" max="2537" width="9.140625" style="94" customWidth="1"/>
    <col min="2538" max="2538" width="6.85546875" style="94" customWidth="1"/>
    <col min="2539" max="2539" width="15" style="94" bestFit="1" customWidth="1"/>
    <col min="2540" max="2764" width="9.140625" style="94"/>
    <col min="2765" max="2765" width="4" style="94" customWidth="1"/>
    <col min="2766" max="2766" width="24.42578125" style="94" customWidth="1"/>
    <col min="2767" max="2767" width="19.85546875" style="94" customWidth="1"/>
    <col min="2768" max="2768" width="9.28515625" style="94" customWidth="1"/>
    <col min="2769" max="2769" width="10" style="94" customWidth="1"/>
    <col min="2770" max="2770" width="8.42578125" style="94" customWidth="1"/>
    <col min="2771" max="2771" width="12.28515625" style="94" customWidth="1"/>
    <col min="2772" max="2772" width="7.5703125" style="94" customWidth="1"/>
    <col min="2773" max="2773" width="7.85546875" style="94" customWidth="1"/>
    <col min="2774" max="2774" width="8.28515625" style="94" customWidth="1"/>
    <col min="2775" max="2775" width="9.140625" style="94"/>
    <col min="2776" max="2778" width="7.5703125" style="94" customWidth="1"/>
    <col min="2779" max="2779" width="10.28515625" style="94" customWidth="1"/>
    <col min="2780" max="2780" width="10.5703125" style="94" customWidth="1"/>
    <col min="2781" max="2781" width="11.140625" style="94" customWidth="1"/>
    <col min="2782" max="2782" width="10.42578125" style="94" customWidth="1"/>
    <col min="2783" max="2792" width="11" style="94" customWidth="1"/>
    <col min="2793" max="2793" width="9.140625" style="94" customWidth="1"/>
    <col min="2794" max="2794" width="6.85546875" style="94" customWidth="1"/>
    <col min="2795" max="2795" width="15" style="94" bestFit="1" customWidth="1"/>
    <col min="2796" max="3020" width="9.140625" style="94"/>
    <col min="3021" max="3021" width="4" style="94" customWidth="1"/>
    <col min="3022" max="3022" width="24.42578125" style="94" customWidth="1"/>
    <col min="3023" max="3023" width="19.85546875" style="94" customWidth="1"/>
    <col min="3024" max="3024" width="9.28515625" style="94" customWidth="1"/>
    <col min="3025" max="3025" width="10" style="94" customWidth="1"/>
    <col min="3026" max="3026" width="8.42578125" style="94" customWidth="1"/>
    <col min="3027" max="3027" width="12.28515625" style="94" customWidth="1"/>
    <col min="3028" max="3028" width="7.5703125" style="94" customWidth="1"/>
    <col min="3029" max="3029" width="7.85546875" style="94" customWidth="1"/>
    <col min="3030" max="3030" width="8.28515625" style="94" customWidth="1"/>
    <col min="3031" max="3031" width="9.140625" style="94"/>
    <col min="3032" max="3034" width="7.5703125" style="94" customWidth="1"/>
    <col min="3035" max="3035" width="10.28515625" style="94" customWidth="1"/>
    <col min="3036" max="3036" width="10.5703125" style="94" customWidth="1"/>
    <col min="3037" max="3037" width="11.140625" style="94" customWidth="1"/>
    <col min="3038" max="3038" width="10.42578125" style="94" customWidth="1"/>
    <col min="3039" max="3048" width="11" style="94" customWidth="1"/>
    <col min="3049" max="3049" width="9.140625" style="94" customWidth="1"/>
    <col min="3050" max="3050" width="6.85546875" style="94" customWidth="1"/>
    <col min="3051" max="3051" width="15" style="94" bestFit="1" customWidth="1"/>
    <col min="3052" max="3276" width="9.140625" style="94"/>
    <col min="3277" max="3277" width="4" style="94" customWidth="1"/>
    <col min="3278" max="3278" width="24.42578125" style="94" customWidth="1"/>
    <col min="3279" max="3279" width="19.85546875" style="94" customWidth="1"/>
    <col min="3280" max="3280" width="9.28515625" style="94" customWidth="1"/>
    <col min="3281" max="3281" width="10" style="94" customWidth="1"/>
    <col min="3282" max="3282" width="8.42578125" style="94" customWidth="1"/>
    <col min="3283" max="3283" width="12.28515625" style="94" customWidth="1"/>
    <col min="3284" max="3284" width="7.5703125" style="94" customWidth="1"/>
    <col min="3285" max="3285" width="7.85546875" style="94" customWidth="1"/>
    <col min="3286" max="3286" width="8.28515625" style="94" customWidth="1"/>
    <col min="3287" max="3287" width="9.140625" style="94"/>
    <col min="3288" max="3290" width="7.5703125" style="94" customWidth="1"/>
    <col min="3291" max="3291" width="10.28515625" style="94" customWidth="1"/>
    <col min="3292" max="3292" width="10.5703125" style="94" customWidth="1"/>
    <col min="3293" max="3293" width="11.140625" style="94" customWidth="1"/>
    <col min="3294" max="3294" width="10.42578125" style="94" customWidth="1"/>
    <col min="3295" max="3304" width="11" style="94" customWidth="1"/>
    <col min="3305" max="3305" width="9.140625" style="94" customWidth="1"/>
    <col min="3306" max="3306" width="6.85546875" style="94" customWidth="1"/>
    <col min="3307" max="3307" width="15" style="94" bestFit="1" customWidth="1"/>
    <col min="3308" max="3532" width="9.140625" style="94"/>
    <col min="3533" max="3533" width="4" style="94" customWidth="1"/>
    <col min="3534" max="3534" width="24.42578125" style="94" customWidth="1"/>
    <col min="3535" max="3535" width="19.85546875" style="94" customWidth="1"/>
    <col min="3536" max="3536" width="9.28515625" style="94" customWidth="1"/>
    <col min="3537" max="3537" width="10" style="94" customWidth="1"/>
    <col min="3538" max="3538" width="8.42578125" style="94" customWidth="1"/>
    <col min="3539" max="3539" width="12.28515625" style="94" customWidth="1"/>
    <col min="3540" max="3540" width="7.5703125" style="94" customWidth="1"/>
    <col min="3541" max="3541" width="7.85546875" style="94" customWidth="1"/>
    <col min="3542" max="3542" width="8.28515625" style="94" customWidth="1"/>
    <col min="3543" max="3543" width="9.140625" style="94"/>
    <col min="3544" max="3546" width="7.5703125" style="94" customWidth="1"/>
    <col min="3547" max="3547" width="10.28515625" style="94" customWidth="1"/>
    <col min="3548" max="3548" width="10.5703125" style="94" customWidth="1"/>
    <col min="3549" max="3549" width="11.140625" style="94" customWidth="1"/>
    <col min="3550" max="3550" width="10.42578125" style="94" customWidth="1"/>
    <col min="3551" max="3560" width="11" style="94" customWidth="1"/>
    <col min="3561" max="3561" width="9.140625" style="94" customWidth="1"/>
    <col min="3562" max="3562" width="6.85546875" style="94" customWidth="1"/>
    <col min="3563" max="3563" width="15" style="94" bestFit="1" customWidth="1"/>
    <col min="3564" max="3788" width="9.140625" style="94"/>
    <col min="3789" max="3789" width="4" style="94" customWidth="1"/>
    <col min="3790" max="3790" width="24.42578125" style="94" customWidth="1"/>
    <col min="3791" max="3791" width="19.85546875" style="94" customWidth="1"/>
    <col min="3792" max="3792" width="9.28515625" style="94" customWidth="1"/>
    <col min="3793" max="3793" width="10" style="94" customWidth="1"/>
    <col min="3794" max="3794" width="8.42578125" style="94" customWidth="1"/>
    <col min="3795" max="3795" width="12.28515625" style="94" customWidth="1"/>
    <col min="3796" max="3796" width="7.5703125" style="94" customWidth="1"/>
    <col min="3797" max="3797" width="7.85546875" style="94" customWidth="1"/>
    <col min="3798" max="3798" width="8.28515625" style="94" customWidth="1"/>
    <col min="3799" max="3799" width="9.140625" style="94"/>
    <col min="3800" max="3802" width="7.5703125" style="94" customWidth="1"/>
    <col min="3803" max="3803" width="10.28515625" style="94" customWidth="1"/>
    <col min="3804" max="3804" width="10.5703125" style="94" customWidth="1"/>
    <col min="3805" max="3805" width="11.140625" style="94" customWidth="1"/>
    <col min="3806" max="3806" width="10.42578125" style="94" customWidth="1"/>
    <col min="3807" max="3816" width="11" style="94" customWidth="1"/>
    <col min="3817" max="3817" width="9.140625" style="94" customWidth="1"/>
    <col min="3818" max="3818" width="6.85546875" style="94" customWidth="1"/>
    <col min="3819" max="3819" width="15" style="94" bestFit="1" customWidth="1"/>
    <col min="3820" max="4044" width="9.140625" style="94"/>
    <col min="4045" max="4045" width="4" style="94" customWidth="1"/>
    <col min="4046" max="4046" width="24.42578125" style="94" customWidth="1"/>
    <col min="4047" max="4047" width="19.85546875" style="94" customWidth="1"/>
    <col min="4048" max="4048" width="9.28515625" style="94" customWidth="1"/>
    <col min="4049" max="4049" width="10" style="94" customWidth="1"/>
    <col min="4050" max="4050" width="8.42578125" style="94" customWidth="1"/>
    <col min="4051" max="4051" width="12.28515625" style="94" customWidth="1"/>
    <col min="4052" max="4052" width="7.5703125" style="94" customWidth="1"/>
    <col min="4053" max="4053" width="7.85546875" style="94" customWidth="1"/>
    <col min="4054" max="4054" width="8.28515625" style="94" customWidth="1"/>
    <col min="4055" max="4055" width="9.140625" style="94"/>
    <col min="4056" max="4058" width="7.5703125" style="94" customWidth="1"/>
    <col min="4059" max="4059" width="10.28515625" style="94" customWidth="1"/>
    <col min="4060" max="4060" width="10.5703125" style="94" customWidth="1"/>
    <col min="4061" max="4061" width="11.140625" style="94" customWidth="1"/>
    <col min="4062" max="4062" width="10.42578125" style="94" customWidth="1"/>
    <col min="4063" max="4072" width="11" style="94" customWidth="1"/>
    <col min="4073" max="4073" width="9.140625" style="94" customWidth="1"/>
    <col min="4074" max="4074" width="6.85546875" style="94" customWidth="1"/>
    <col min="4075" max="4075" width="15" style="94" bestFit="1" customWidth="1"/>
    <col min="4076" max="4300" width="9.140625" style="94"/>
    <col min="4301" max="4301" width="4" style="94" customWidth="1"/>
    <col min="4302" max="4302" width="24.42578125" style="94" customWidth="1"/>
    <col min="4303" max="4303" width="19.85546875" style="94" customWidth="1"/>
    <col min="4304" max="4304" width="9.28515625" style="94" customWidth="1"/>
    <col min="4305" max="4305" width="10" style="94" customWidth="1"/>
    <col min="4306" max="4306" width="8.42578125" style="94" customWidth="1"/>
    <col min="4307" max="4307" width="12.28515625" style="94" customWidth="1"/>
    <col min="4308" max="4308" width="7.5703125" style="94" customWidth="1"/>
    <col min="4309" max="4309" width="7.85546875" style="94" customWidth="1"/>
    <col min="4310" max="4310" width="8.28515625" style="94" customWidth="1"/>
    <col min="4311" max="4311" width="9.140625" style="94"/>
    <col min="4312" max="4314" width="7.5703125" style="94" customWidth="1"/>
    <col min="4315" max="4315" width="10.28515625" style="94" customWidth="1"/>
    <col min="4316" max="4316" width="10.5703125" style="94" customWidth="1"/>
    <col min="4317" max="4317" width="11.140625" style="94" customWidth="1"/>
    <col min="4318" max="4318" width="10.42578125" style="94" customWidth="1"/>
    <col min="4319" max="4328" width="11" style="94" customWidth="1"/>
    <col min="4329" max="4329" width="9.140625" style="94" customWidth="1"/>
    <col min="4330" max="4330" width="6.85546875" style="94" customWidth="1"/>
    <col min="4331" max="4331" width="15" style="94" bestFit="1" customWidth="1"/>
    <col min="4332" max="4556" width="9.140625" style="94"/>
    <col min="4557" max="4557" width="4" style="94" customWidth="1"/>
    <col min="4558" max="4558" width="24.42578125" style="94" customWidth="1"/>
    <col min="4559" max="4559" width="19.85546875" style="94" customWidth="1"/>
    <col min="4560" max="4560" width="9.28515625" style="94" customWidth="1"/>
    <col min="4561" max="4561" width="10" style="94" customWidth="1"/>
    <col min="4562" max="4562" width="8.42578125" style="94" customWidth="1"/>
    <col min="4563" max="4563" width="12.28515625" style="94" customWidth="1"/>
    <col min="4564" max="4564" width="7.5703125" style="94" customWidth="1"/>
    <col min="4565" max="4565" width="7.85546875" style="94" customWidth="1"/>
    <col min="4566" max="4566" width="8.28515625" style="94" customWidth="1"/>
    <col min="4567" max="4567" width="9.140625" style="94"/>
    <col min="4568" max="4570" width="7.5703125" style="94" customWidth="1"/>
    <col min="4571" max="4571" width="10.28515625" style="94" customWidth="1"/>
    <col min="4572" max="4572" width="10.5703125" style="94" customWidth="1"/>
    <col min="4573" max="4573" width="11.140625" style="94" customWidth="1"/>
    <col min="4574" max="4574" width="10.42578125" style="94" customWidth="1"/>
    <col min="4575" max="4584" width="11" style="94" customWidth="1"/>
    <col min="4585" max="4585" width="9.140625" style="94" customWidth="1"/>
    <col min="4586" max="4586" width="6.85546875" style="94" customWidth="1"/>
    <col min="4587" max="4587" width="15" style="94" bestFit="1" customWidth="1"/>
    <col min="4588" max="4812" width="9.140625" style="94"/>
    <col min="4813" max="4813" width="4" style="94" customWidth="1"/>
    <col min="4814" max="4814" width="24.42578125" style="94" customWidth="1"/>
    <col min="4815" max="4815" width="19.85546875" style="94" customWidth="1"/>
    <col min="4816" max="4816" width="9.28515625" style="94" customWidth="1"/>
    <col min="4817" max="4817" width="10" style="94" customWidth="1"/>
    <col min="4818" max="4818" width="8.42578125" style="94" customWidth="1"/>
    <col min="4819" max="4819" width="12.28515625" style="94" customWidth="1"/>
    <col min="4820" max="4820" width="7.5703125" style="94" customWidth="1"/>
    <col min="4821" max="4821" width="7.85546875" style="94" customWidth="1"/>
    <col min="4822" max="4822" width="8.28515625" style="94" customWidth="1"/>
    <col min="4823" max="4823" width="9.140625" style="94"/>
    <col min="4824" max="4826" width="7.5703125" style="94" customWidth="1"/>
    <col min="4827" max="4827" width="10.28515625" style="94" customWidth="1"/>
    <col min="4828" max="4828" width="10.5703125" style="94" customWidth="1"/>
    <col min="4829" max="4829" width="11.140625" style="94" customWidth="1"/>
    <col min="4830" max="4830" width="10.42578125" style="94" customWidth="1"/>
    <col min="4831" max="4840" width="11" style="94" customWidth="1"/>
    <col min="4841" max="4841" width="9.140625" style="94" customWidth="1"/>
    <col min="4842" max="4842" width="6.85546875" style="94" customWidth="1"/>
    <col min="4843" max="4843" width="15" style="94" bestFit="1" customWidth="1"/>
    <col min="4844" max="5068" width="9.140625" style="94"/>
    <col min="5069" max="5069" width="4" style="94" customWidth="1"/>
    <col min="5070" max="5070" width="24.42578125" style="94" customWidth="1"/>
    <col min="5071" max="5071" width="19.85546875" style="94" customWidth="1"/>
    <col min="5072" max="5072" width="9.28515625" style="94" customWidth="1"/>
    <col min="5073" max="5073" width="10" style="94" customWidth="1"/>
    <col min="5074" max="5074" width="8.42578125" style="94" customWidth="1"/>
    <col min="5075" max="5075" width="12.28515625" style="94" customWidth="1"/>
    <col min="5076" max="5076" width="7.5703125" style="94" customWidth="1"/>
    <col min="5077" max="5077" width="7.85546875" style="94" customWidth="1"/>
    <col min="5078" max="5078" width="8.28515625" style="94" customWidth="1"/>
    <col min="5079" max="5079" width="9.140625" style="94"/>
    <col min="5080" max="5082" width="7.5703125" style="94" customWidth="1"/>
    <col min="5083" max="5083" width="10.28515625" style="94" customWidth="1"/>
    <col min="5084" max="5084" width="10.5703125" style="94" customWidth="1"/>
    <col min="5085" max="5085" width="11.140625" style="94" customWidth="1"/>
    <col min="5086" max="5086" width="10.42578125" style="94" customWidth="1"/>
    <col min="5087" max="5096" width="11" style="94" customWidth="1"/>
    <col min="5097" max="5097" width="9.140625" style="94" customWidth="1"/>
    <col min="5098" max="5098" width="6.85546875" style="94" customWidth="1"/>
    <col min="5099" max="5099" width="15" style="94" bestFit="1" customWidth="1"/>
    <col min="5100" max="5324" width="9.140625" style="94"/>
    <col min="5325" max="5325" width="4" style="94" customWidth="1"/>
    <col min="5326" max="5326" width="24.42578125" style="94" customWidth="1"/>
    <col min="5327" max="5327" width="19.85546875" style="94" customWidth="1"/>
    <col min="5328" max="5328" width="9.28515625" style="94" customWidth="1"/>
    <col min="5329" max="5329" width="10" style="94" customWidth="1"/>
    <col min="5330" max="5330" width="8.42578125" style="94" customWidth="1"/>
    <col min="5331" max="5331" width="12.28515625" style="94" customWidth="1"/>
    <col min="5332" max="5332" width="7.5703125" style="94" customWidth="1"/>
    <col min="5333" max="5333" width="7.85546875" style="94" customWidth="1"/>
    <col min="5334" max="5334" width="8.28515625" style="94" customWidth="1"/>
    <col min="5335" max="5335" width="9.140625" style="94"/>
    <col min="5336" max="5338" width="7.5703125" style="94" customWidth="1"/>
    <col min="5339" max="5339" width="10.28515625" style="94" customWidth="1"/>
    <col min="5340" max="5340" width="10.5703125" style="94" customWidth="1"/>
    <col min="5341" max="5341" width="11.140625" style="94" customWidth="1"/>
    <col min="5342" max="5342" width="10.42578125" style="94" customWidth="1"/>
    <col min="5343" max="5352" width="11" style="94" customWidth="1"/>
    <col min="5353" max="5353" width="9.140625" style="94" customWidth="1"/>
    <col min="5354" max="5354" width="6.85546875" style="94" customWidth="1"/>
    <col min="5355" max="5355" width="15" style="94" bestFit="1" customWidth="1"/>
    <col min="5356" max="5580" width="9.140625" style="94"/>
    <col min="5581" max="5581" width="4" style="94" customWidth="1"/>
    <col min="5582" max="5582" width="24.42578125" style="94" customWidth="1"/>
    <col min="5583" max="5583" width="19.85546875" style="94" customWidth="1"/>
    <col min="5584" max="5584" width="9.28515625" style="94" customWidth="1"/>
    <col min="5585" max="5585" width="10" style="94" customWidth="1"/>
    <col min="5586" max="5586" width="8.42578125" style="94" customWidth="1"/>
    <col min="5587" max="5587" width="12.28515625" style="94" customWidth="1"/>
    <col min="5588" max="5588" width="7.5703125" style="94" customWidth="1"/>
    <col min="5589" max="5589" width="7.85546875" style="94" customWidth="1"/>
    <col min="5590" max="5590" width="8.28515625" style="94" customWidth="1"/>
    <col min="5591" max="5591" width="9.140625" style="94"/>
    <col min="5592" max="5594" width="7.5703125" style="94" customWidth="1"/>
    <col min="5595" max="5595" width="10.28515625" style="94" customWidth="1"/>
    <col min="5596" max="5596" width="10.5703125" style="94" customWidth="1"/>
    <col min="5597" max="5597" width="11.140625" style="94" customWidth="1"/>
    <col min="5598" max="5598" width="10.42578125" style="94" customWidth="1"/>
    <col min="5599" max="5608" width="11" style="94" customWidth="1"/>
    <col min="5609" max="5609" width="9.140625" style="94" customWidth="1"/>
    <col min="5610" max="5610" width="6.85546875" style="94" customWidth="1"/>
    <col min="5611" max="5611" width="15" style="94" bestFit="1" customWidth="1"/>
    <col min="5612" max="5836" width="9.140625" style="94"/>
    <col min="5837" max="5837" width="4" style="94" customWidth="1"/>
    <col min="5838" max="5838" width="24.42578125" style="94" customWidth="1"/>
    <col min="5839" max="5839" width="19.85546875" style="94" customWidth="1"/>
    <col min="5840" max="5840" width="9.28515625" style="94" customWidth="1"/>
    <col min="5841" max="5841" width="10" style="94" customWidth="1"/>
    <col min="5842" max="5842" width="8.42578125" style="94" customWidth="1"/>
    <col min="5843" max="5843" width="12.28515625" style="94" customWidth="1"/>
    <col min="5844" max="5844" width="7.5703125" style="94" customWidth="1"/>
    <col min="5845" max="5845" width="7.85546875" style="94" customWidth="1"/>
    <col min="5846" max="5846" width="8.28515625" style="94" customWidth="1"/>
    <col min="5847" max="5847" width="9.140625" style="94"/>
    <col min="5848" max="5850" width="7.5703125" style="94" customWidth="1"/>
    <col min="5851" max="5851" width="10.28515625" style="94" customWidth="1"/>
    <col min="5852" max="5852" width="10.5703125" style="94" customWidth="1"/>
    <col min="5853" max="5853" width="11.140625" style="94" customWidth="1"/>
    <col min="5854" max="5854" width="10.42578125" style="94" customWidth="1"/>
    <col min="5855" max="5864" width="11" style="94" customWidth="1"/>
    <col min="5865" max="5865" width="9.140625" style="94" customWidth="1"/>
    <col min="5866" max="5866" width="6.85546875" style="94" customWidth="1"/>
    <col min="5867" max="5867" width="15" style="94" bestFit="1" customWidth="1"/>
    <col min="5868" max="6092" width="9.140625" style="94"/>
    <col min="6093" max="6093" width="4" style="94" customWidth="1"/>
    <col min="6094" max="6094" width="24.42578125" style="94" customWidth="1"/>
    <col min="6095" max="6095" width="19.85546875" style="94" customWidth="1"/>
    <col min="6096" max="6096" width="9.28515625" style="94" customWidth="1"/>
    <col min="6097" max="6097" width="10" style="94" customWidth="1"/>
    <col min="6098" max="6098" width="8.42578125" style="94" customWidth="1"/>
    <col min="6099" max="6099" width="12.28515625" style="94" customWidth="1"/>
    <col min="6100" max="6100" width="7.5703125" style="94" customWidth="1"/>
    <col min="6101" max="6101" width="7.85546875" style="94" customWidth="1"/>
    <col min="6102" max="6102" width="8.28515625" style="94" customWidth="1"/>
    <col min="6103" max="6103" width="9.140625" style="94"/>
    <col min="6104" max="6106" width="7.5703125" style="94" customWidth="1"/>
    <col min="6107" max="6107" width="10.28515625" style="94" customWidth="1"/>
    <col min="6108" max="6108" width="10.5703125" style="94" customWidth="1"/>
    <col min="6109" max="6109" width="11.140625" style="94" customWidth="1"/>
    <col min="6110" max="6110" width="10.42578125" style="94" customWidth="1"/>
    <col min="6111" max="6120" width="11" style="94" customWidth="1"/>
    <col min="6121" max="6121" width="9.140625" style="94" customWidth="1"/>
    <col min="6122" max="6122" width="6.85546875" style="94" customWidth="1"/>
    <col min="6123" max="6123" width="15" style="94" bestFit="1" customWidth="1"/>
    <col min="6124" max="6348" width="9.140625" style="94"/>
    <col min="6349" max="6349" width="4" style="94" customWidth="1"/>
    <col min="6350" max="6350" width="24.42578125" style="94" customWidth="1"/>
    <col min="6351" max="6351" width="19.85546875" style="94" customWidth="1"/>
    <col min="6352" max="6352" width="9.28515625" style="94" customWidth="1"/>
    <col min="6353" max="6353" width="10" style="94" customWidth="1"/>
    <col min="6354" max="6354" width="8.42578125" style="94" customWidth="1"/>
    <col min="6355" max="6355" width="12.28515625" style="94" customWidth="1"/>
    <col min="6356" max="6356" width="7.5703125" style="94" customWidth="1"/>
    <col min="6357" max="6357" width="7.85546875" style="94" customWidth="1"/>
    <col min="6358" max="6358" width="8.28515625" style="94" customWidth="1"/>
    <col min="6359" max="6359" width="9.140625" style="94"/>
    <col min="6360" max="6362" width="7.5703125" style="94" customWidth="1"/>
    <col min="6363" max="6363" width="10.28515625" style="94" customWidth="1"/>
    <col min="6364" max="6364" width="10.5703125" style="94" customWidth="1"/>
    <col min="6365" max="6365" width="11.140625" style="94" customWidth="1"/>
    <col min="6366" max="6366" width="10.42578125" style="94" customWidth="1"/>
    <col min="6367" max="6376" width="11" style="94" customWidth="1"/>
    <col min="6377" max="6377" width="9.140625" style="94" customWidth="1"/>
    <col min="6378" max="6378" width="6.85546875" style="94" customWidth="1"/>
    <col min="6379" max="6379" width="15" style="94" bestFit="1" customWidth="1"/>
    <col min="6380" max="6604" width="9.140625" style="94"/>
    <col min="6605" max="6605" width="4" style="94" customWidth="1"/>
    <col min="6606" max="6606" width="24.42578125" style="94" customWidth="1"/>
    <col min="6607" max="6607" width="19.85546875" style="94" customWidth="1"/>
    <col min="6608" max="6608" width="9.28515625" style="94" customWidth="1"/>
    <col min="6609" max="6609" width="10" style="94" customWidth="1"/>
    <col min="6610" max="6610" width="8.42578125" style="94" customWidth="1"/>
    <col min="6611" max="6611" width="12.28515625" style="94" customWidth="1"/>
    <col min="6612" max="6612" width="7.5703125" style="94" customWidth="1"/>
    <col min="6613" max="6613" width="7.85546875" style="94" customWidth="1"/>
    <col min="6614" max="6614" width="8.28515625" style="94" customWidth="1"/>
    <col min="6615" max="6615" width="9.140625" style="94"/>
    <col min="6616" max="6618" width="7.5703125" style="94" customWidth="1"/>
    <col min="6619" max="6619" width="10.28515625" style="94" customWidth="1"/>
    <col min="6620" max="6620" width="10.5703125" style="94" customWidth="1"/>
    <col min="6621" max="6621" width="11.140625" style="94" customWidth="1"/>
    <col min="6622" max="6622" width="10.42578125" style="94" customWidth="1"/>
    <col min="6623" max="6632" width="11" style="94" customWidth="1"/>
    <col min="6633" max="6633" width="9.140625" style="94" customWidth="1"/>
    <col min="6634" max="6634" width="6.85546875" style="94" customWidth="1"/>
    <col min="6635" max="6635" width="15" style="94" bestFit="1" customWidth="1"/>
    <col min="6636" max="6860" width="9.140625" style="94"/>
    <col min="6861" max="6861" width="4" style="94" customWidth="1"/>
    <col min="6862" max="6862" width="24.42578125" style="94" customWidth="1"/>
    <col min="6863" max="6863" width="19.85546875" style="94" customWidth="1"/>
    <col min="6864" max="6864" width="9.28515625" style="94" customWidth="1"/>
    <col min="6865" max="6865" width="10" style="94" customWidth="1"/>
    <col min="6866" max="6866" width="8.42578125" style="94" customWidth="1"/>
    <col min="6867" max="6867" width="12.28515625" style="94" customWidth="1"/>
    <col min="6868" max="6868" width="7.5703125" style="94" customWidth="1"/>
    <col min="6869" max="6869" width="7.85546875" style="94" customWidth="1"/>
    <col min="6870" max="6870" width="8.28515625" style="94" customWidth="1"/>
    <col min="6871" max="6871" width="9.140625" style="94"/>
    <col min="6872" max="6874" width="7.5703125" style="94" customWidth="1"/>
    <col min="6875" max="6875" width="10.28515625" style="94" customWidth="1"/>
    <col min="6876" max="6876" width="10.5703125" style="94" customWidth="1"/>
    <col min="6877" max="6877" width="11.140625" style="94" customWidth="1"/>
    <col min="6878" max="6878" width="10.42578125" style="94" customWidth="1"/>
    <col min="6879" max="6888" width="11" style="94" customWidth="1"/>
    <col min="6889" max="6889" width="9.140625" style="94" customWidth="1"/>
    <col min="6890" max="6890" width="6.85546875" style="94" customWidth="1"/>
    <col min="6891" max="6891" width="15" style="94" bestFit="1" customWidth="1"/>
    <col min="6892" max="7116" width="9.140625" style="94"/>
    <col min="7117" max="7117" width="4" style="94" customWidth="1"/>
    <col min="7118" max="7118" width="24.42578125" style="94" customWidth="1"/>
    <col min="7119" max="7119" width="19.85546875" style="94" customWidth="1"/>
    <col min="7120" max="7120" width="9.28515625" style="94" customWidth="1"/>
    <col min="7121" max="7121" width="10" style="94" customWidth="1"/>
    <col min="7122" max="7122" width="8.42578125" style="94" customWidth="1"/>
    <col min="7123" max="7123" width="12.28515625" style="94" customWidth="1"/>
    <col min="7124" max="7124" width="7.5703125" style="94" customWidth="1"/>
    <col min="7125" max="7125" width="7.85546875" style="94" customWidth="1"/>
    <col min="7126" max="7126" width="8.28515625" style="94" customWidth="1"/>
    <col min="7127" max="7127" width="9.140625" style="94"/>
    <col min="7128" max="7130" width="7.5703125" style="94" customWidth="1"/>
    <col min="7131" max="7131" width="10.28515625" style="94" customWidth="1"/>
    <col min="7132" max="7132" width="10.5703125" style="94" customWidth="1"/>
    <col min="7133" max="7133" width="11.140625" style="94" customWidth="1"/>
    <col min="7134" max="7134" width="10.42578125" style="94" customWidth="1"/>
    <col min="7135" max="7144" width="11" style="94" customWidth="1"/>
    <col min="7145" max="7145" width="9.140625" style="94" customWidth="1"/>
    <col min="7146" max="7146" width="6.85546875" style="94" customWidth="1"/>
    <col min="7147" max="7147" width="15" style="94" bestFit="1" customWidth="1"/>
    <col min="7148" max="7372" width="9.140625" style="94"/>
    <col min="7373" max="7373" width="4" style="94" customWidth="1"/>
    <col min="7374" max="7374" width="24.42578125" style="94" customWidth="1"/>
    <col min="7375" max="7375" width="19.85546875" style="94" customWidth="1"/>
    <col min="7376" max="7376" width="9.28515625" style="94" customWidth="1"/>
    <col min="7377" max="7377" width="10" style="94" customWidth="1"/>
    <col min="7378" max="7378" width="8.42578125" style="94" customWidth="1"/>
    <col min="7379" max="7379" width="12.28515625" style="94" customWidth="1"/>
    <col min="7380" max="7380" width="7.5703125" style="94" customWidth="1"/>
    <col min="7381" max="7381" width="7.85546875" style="94" customWidth="1"/>
    <col min="7382" max="7382" width="8.28515625" style="94" customWidth="1"/>
    <col min="7383" max="7383" width="9.140625" style="94"/>
    <col min="7384" max="7386" width="7.5703125" style="94" customWidth="1"/>
    <col min="7387" max="7387" width="10.28515625" style="94" customWidth="1"/>
    <col min="7388" max="7388" width="10.5703125" style="94" customWidth="1"/>
    <col min="7389" max="7389" width="11.140625" style="94" customWidth="1"/>
    <col min="7390" max="7390" width="10.42578125" style="94" customWidth="1"/>
    <col min="7391" max="7400" width="11" style="94" customWidth="1"/>
    <col min="7401" max="7401" width="9.140625" style="94" customWidth="1"/>
    <col min="7402" max="7402" width="6.85546875" style="94" customWidth="1"/>
    <col min="7403" max="7403" width="15" style="94" bestFit="1" customWidth="1"/>
    <col min="7404" max="7628" width="9.140625" style="94"/>
    <col min="7629" max="7629" width="4" style="94" customWidth="1"/>
    <col min="7630" max="7630" width="24.42578125" style="94" customWidth="1"/>
    <col min="7631" max="7631" width="19.85546875" style="94" customWidth="1"/>
    <col min="7632" max="7632" width="9.28515625" style="94" customWidth="1"/>
    <col min="7633" max="7633" width="10" style="94" customWidth="1"/>
    <col min="7634" max="7634" width="8.42578125" style="94" customWidth="1"/>
    <col min="7635" max="7635" width="12.28515625" style="94" customWidth="1"/>
    <col min="7636" max="7636" width="7.5703125" style="94" customWidth="1"/>
    <col min="7637" max="7637" width="7.85546875" style="94" customWidth="1"/>
    <col min="7638" max="7638" width="8.28515625" style="94" customWidth="1"/>
    <col min="7639" max="7639" width="9.140625" style="94"/>
    <col min="7640" max="7642" width="7.5703125" style="94" customWidth="1"/>
    <col min="7643" max="7643" width="10.28515625" style="94" customWidth="1"/>
    <col min="7644" max="7644" width="10.5703125" style="94" customWidth="1"/>
    <col min="7645" max="7645" width="11.140625" style="94" customWidth="1"/>
    <col min="7646" max="7646" width="10.42578125" style="94" customWidth="1"/>
    <col min="7647" max="7656" width="11" style="94" customWidth="1"/>
    <col min="7657" max="7657" width="9.140625" style="94" customWidth="1"/>
    <col min="7658" max="7658" width="6.85546875" style="94" customWidth="1"/>
    <col min="7659" max="7659" width="15" style="94" bestFit="1" customWidth="1"/>
    <col min="7660" max="7884" width="9.140625" style="94"/>
    <col min="7885" max="7885" width="4" style="94" customWidth="1"/>
    <col min="7886" max="7886" width="24.42578125" style="94" customWidth="1"/>
    <col min="7887" max="7887" width="19.85546875" style="94" customWidth="1"/>
    <col min="7888" max="7888" width="9.28515625" style="94" customWidth="1"/>
    <col min="7889" max="7889" width="10" style="94" customWidth="1"/>
    <col min="7890" max="7890" width="8.42578125" style="94" customWidth="1"/>
    <col min="7891" max="7891" width="12.28515625" style="94" customWidth="1"/>
    <col min="7892" max="7892" width="7.5703125" style="94" customWidth="1"/>
    <col min="7893" max="7893" width="7.85546875" style="94" customWidth="1"/>
    <col min="7894" max="7894" width="8.28515625" style="94" customWidth="1"/>
    <col min="7895" max="7895" width="9.140625" style="94"/>
    <col min="7896" max="7898" width="7.5703125" style="94" customWidth="1"/>
    <col min="7899" max="7899" width="10.28515625" style="94" customWidth="1"/>
    <col min="7900" max="7900" width="10.5703125" style="94" customWidth="1"/>
    <col min="7901" max="7901" width="11.140625" style="94" customWidth="1"/>
    <col min="7902" max="7902" width="10.42578125" style="94" customWidth="1"/>
    <col min="7903" max="7912" width="11" style="94" customWidth="1"/>
    <col min="7913" max="7913" width="9.140625" style="94" customWidth="1"/>
    <col min="7914" max="7914" width="6.85546875" style="94" customWidth="1"/>
    <col min="7915" max="7915" width="15" style="94" bestFit="1" customWidth="1"/>
    <col min="7916" max="8140" width="9.140625" style="94"/>
    <col min="8141" max="8141" width="4" style="94" customWidth="1"/>
    <col min="8142" max="8142" width="24.42578125" style="94" customWidth="1"/>
    <col min="8143" max="8143" width="19.85546875" style="94" customWidth="1"/>
    <col min="8144" max="8144" width="9.28515625" style="94" customWidth="1"/>
    <col min="8145" max="8145" width="10" style="94" customWidth="1"/>
    <col min="8146" max="8146" width="8.42578125" style="94" customWidth="1"/>
    <col min="8147" max="8147" width="12.28515625" style="94" customWidth="1"/>
    <col min="8148" max="8148" width="7.5703125" style="94" customWidth="1"/>
    <col min="8149" max="8149" width="7.85546875" style="94" customWidth="1"/>
    <col min="8150" max="8150" width="8.28515625" style="94" customWidth="1"/>
    <col min="8151" max="8151" width="9.140625" style="94"/>
    <col min="8152" max="8154" width="7.5703125" style="94" customWidth="1"/>
    <col min="8155" max="8155" width="10.28515625" style="94" customWidth="1"/>
    <col min="8156" max="8156" width="10.5703125" style="94" customWidth="1"/>
    <col min="8157" max="8157" width="11.140625" style="94" customWidth="1"/>
    <col min="8158" max="8158" width="10.42578125" style="94" customWidth="1"/>
    <col min="8159" max="8168" width="11" style="94" customWidth="1"/>
    <col min="8169" max="8169" width="9.140625" style="94" customWidth="1"/>
    <col min="8170" max="8170" width="6.85546875" style="94" customWidth="1"/>
    <col min="8171" max="8171" width="15" style="94" bestFit="1" customWidth="1"/>
    <col min="8172" max="8396" width="9.140625" style="94"/>
    <col min="8397" max="8397" width="4" style="94" customWidth="1"/>
    <col min="8398" max="8398" width="24.42578125" style="94" customWidth="1"/>
    <col min="8399" max="8399" width="19.85546875" style="94" customWidth="1"/>
    <col min="8400" max="8400" width="9.28515625" style="94" customWidth="1"/>
    <col min="8401" max="8401" width="10" style="94" customWidth="1"/>
    <col min="8402" max="8402" width="8.42578125" style="94" customWidth="1"/>
    <col min="8403" max="8403" width="12.28515625" style="94" customWidth="1"/>
    <col min="8404" max="8404" width="7.5703125" style="94" customWidth="1"/>
    <col min="8405" max="8405" width="7.85546875" style="94" customWidth="1"/>
    <col min="8406" max="8406" width="8.28515625" style="94" customWidth="1"/>
    <col min="8407" max="8407" width="9.140625" style="94"/>
    <col min="8408" max="8410" width="7.5703125" style="94" customWidth="1"/>
    <col min="8411" max="8411" width="10.28515625" style="94" customWidth="1"/>
    <col min="8412" max="8412" width="10.5703125" style="94" customWidth="1"/>
    <col min="8413" max="8413" width="11.140625" style="94" customWidth="1"/>
    <col min="8414" max="8414" width="10.42578125" style="94" customWidth="1"/>
    <col min="8415" max="8424" width="11" style="94" customWidth="1"/>
    <col min="8425" max="8425" width="9.140625" style="94" customWidth="1"/>
    <col min="8426" max="8426" width="6.85546875" style="94" customWidth="1"/>
    <col min="8427" max="8427" width="15" style="94" bestFit="1" customWidth="1"/>
    <col min="8428" max="8652" width="9.140625" style="94"/>
    <col min="8653" max="8653" width="4" style="94" customWidth="1"/>
    <col min="8654" max="8654" width="24.42578125" style="94" customWidth="1"/>
    <col min="8655" max="8655" width="19.85546875" style="94" customWidth="1"/>
    <col min="8656" max="8656" width="9.28515625" style="94" customWidth="1"/>
    <col min="8657" max="8657" width="10" style="94" customWidth="1"/>
    <col min="8658" max="8658" width="8.42578125" style="94" customWidth="1"/>
    <col min="8659" max="8659" width="12.28515625" style="94" customWidth="1"/>
    <col min="8660" max="8660" width="7.5703125" style="94" customWidth="1"/>
    <col min="8661" max="8661" width="7.85546875" style="94" customWidth="1"/>
    <col min="8662" max="8662" width="8.28515625" style="94" customWidth="1"/>
    <col min="8663" max="8663" width="9.140625" style="94"/>
    <col min="8664" max="8666" width="7.5703125" style="94" customWidth="1"/>
    <col min="8667" max="8667" width="10.28515625" style="94" customWidth="1"/>
    <col min="8668" max="8668" width="10.5703125" style="94" customWidth="1"/>
    <col min="8669" max="8669" width="11.140625" style="94" customWidth="1"/>
    <col min="8670" max="8670" width="10.42578125" style="94" customWidth="1"/>
    <col min="8671" max="8680" width="11" style="94" customWidth="1"/>
    <col min="8681" max="8681" width="9.140625" style="94" customWidth="1"/>
    <col min="8682" max="8682" width="6.85546875" style="94" customWidth="1"/>
    <col min="8683" max="8683" width="15" style="94" bestFit="1" customWidth="1"/>
    <col min="8684" max="8908" width="9.140625" style="94"/>
    <col min="8909" max="8909" width="4" style="94" customWidth="1"/>
    <col min="8910" max="8910" width="24.42578125" style="94" customWidth="1"/>
    <col min="8911" max="8911" width="19.85546875" style="94" customWidth="1"/>
    <col min="8912" max="8912" width="9.28515625" style="94" customWidth="1"/>
    <col min="8913" max="8913" width="10" style="94" customWidth="1"/>
    <col min="8914" max="8914" width="8.42578125" style="94" customWidth="1"/>
    <col min="8915" max="8915" width="12.28515625" style="94" customWidth="1"/>
    <col min="8916" max="8916" width="7.5703125" style="94" customWidth="1"/>
    <col min="8917" max="8917" width="7.85546875" style="94" customWidth="1"/>
    <col min="8918" max="8918" width="8.28515625" style="94" customWidth="1"/>
    <col min="8919" max="8919" width="9.140625" style="94"/>
    <col min="8920" max="8922" width="7.5703125" style="94" customWidth="1"/>
    <col min="8923" max="8923" width="10.28515625" style="94" customWidth="1"/>
    <col min="8924" max="8924" width="10.5703125" style="94" customWidth="1"/>
    <col min="8925" max="8925" width="11.140625" style="94" customWidth="1"/>
    <col min="8926" max="8926" width="10.42578125" style="94" customWidth="1"/>
    <col min="8927" max="8936" width="11" style="94" customWidth="1"/>
    <col min="8937" max="8937" width="9.140625" style="94" customWidth="1"/>
    <col min="8938" max="8938" width="6.85546875" style="94" customWidth="1"/>
    <col min="8939" max="8939" width="15" style="94" bestFit="1" customWidth="1"/>
    <col min="8940" max="9164" width="9.140625" style="94"/>
    <col min="9165" max="9165" width="4" style="94" customWidth="1"/>
    <col min="9166" max="9166" width="24.42578125" style="94" customWidth="1"/>
    <col min="9167" max="9167" width="19.85546875" style="94" customWidth="1"/>
    <col min="9168" max="9168" width="9.28515625" style="94" customWidth="1"/>
    <col min="9169" max="9169" width="10" style="94" customWidth="1"/>
    <col min="9170" max="9170" width="8.42578125" style="94" customWidth="1"/>
    <col min="9171" max="9171" width="12.28515625" style="94" customWidth="1"/>
    <col min="9172" max="9172" width="7.5703125" style="94" customWidth="1"/>
    <col min="9173" max="9173" width="7.85546875" style="94" customWidth="1"/>
    <col min="9174" max="9174" width="8.28515625" style="94" customWidth="1"/>
    <col min="9175" max="9175" width="9.140625" style="94"/>
    <col min="9176" max="9178" width="7.5703125" style="94" customWidth="1"/>
    <col min="9179" max="9179" width="10.28515625" style="94" customWidth="1"/>
    <col min="9180" max="9180" width="10.5703125" style="94" customWidth="1"/>
    <col min="9181" max="9181" width="11.140625" style="94" customWidth="1"/>
    <col min="9182" max="9182" width="10.42578125" style="94" customWidth="1"/>
    <col min="9183" max="9192" width="11" style="94" customWidth="1"/>
    <col min="9193" max="9193" width="9.140625" style="94" customWidth="1"/>
    <col min="9194" max="9194" width="6.85546875" style="94" customWidth="1"/>
    <col min="9195" max="9195" width="15" style="94" bestFit="1" customWidth="1"/>
    <col min="9196" max="9420" width="9.140625" style="94"/>
    <col min="9421" max="9421" width="4" style="94" customWidth="1"/>
    <col min="9422" max="9422" width="24.42578125" style="94" customWidth="1"/>
    <col min="9423" max="9423" width="19.85546875" style="94" customWidth="1"/>
    <col min="9424" max="9424" width="9.28515625" style="94" customWidth="1"/>
    <col min="9425" max="9425" width="10" style="94" customWidth="1"/>
    <col min="9426" max="9426" width="8.42578125" style="94" customWidth="1"/>
    <col min="9427" max="9427" width="12.28515625" style="94" customWidth="1"/>
    <col min="9428" max="9428" width="7.5703125" style="94" customWidth="1"/>
    <col min="9429" max="9429" width="7.85546875" style="94" customWidth="1"/>
    <col min="9430" max="9430" width="8.28515625" style="94" customWidth="1"/>
    <col min="9431" max="9431" width="9.140625" style="94"/>
    <col min="9432" max="9434" width="7.5703125" style="94" customWidth="1"/>
    <col min="9435" max="9435" width="10.28515625" style="94" customWidth="1"/>
    <col min="9436" max="9436" width="10.5703125" style="94" customWidth="1"/>
    <col min="9437" max="9437" width="11.140625" style="94" customWidth="1"/>
    <col min="9438" max="9438" width="10.42578125" style="94" customWidth="1"/>
    <col min="9439" max="9448" width="11" style="94" customWidth="1"/>
    <col min="9449" max="9449" width="9.140625" style="94" customWidth="1"/>
    <col min="9450" max="9450" width="6.85546875" style="94" customWidth="1"/>
    <col min="9451" max="9451" width="15" style="94" bestFit="1" customWidth="1"/>
    <col min="9452" max="9676" width="9.140625" style="94"/>
    <col min="9677" max="9677" width="4" style="94" customWidth="1"/>
    <col min="9678" max="9678" width="24.42578125" style="94" customWidth="1"/>
    <col min="9679" max="9679" width="19.85546875" style="94" customWidth="1"/>
    <col min="9680" max="9680" width="9.28515625" style="94" customWidth="1"/>
    <col min="9681" max="9681" width="10" style="94" customWidth="1"/>
    <col min="9682" max="9682" width="8.42578125" style="94" customWidth="1"/>
    <col min="9683" max="9683" width="12.28515625" style="94" customWidth="1"/>
    <col min="9684" max="9684" width="7.5703125" style="94" customWidth="1"/>
    <col min="9685" max="9685" width="7.85546875" style="94" customWidth="1"/>
    <col min="9686" max="9686" width="8.28515625" style="94" customWidth="1"/>
    <col min="9687" max="9687" width="9.140625" style="94"/>
    <col min="9688" max="9690" width="7.5703125" style="94" customWidth="1"/>
    <col min="9691" max="9691" width="10.28515625" style="94" customWidth="1"/>
    <col min="9692" max="9692" width="10.5703125" style="94" customWidth="1"/>
    <col min="9693" max="9693" width="11.140625" style="94" customWidth="1"/>
    <col min="9694" max="9694" width="10.42578125" style="94" customWidth="1"/>
    <col min="9695" max="9704" width="11" style="94" customWidth="1"/>
    <col min="9705" max="9705" width="9.140625" style="94" customWidth="1"/>
    <col min="9706" max="9706" width="6.85546875" style="94" customWidth="1"/>
    <col min="9707" max="9707" width="15" style="94" bestFit="1" customWidth="1"/>
    <col min="9708" max="9932" width="9.140625" style="94"/>
    <col min="9933" max="9933" width="4" style="94" customWidth="1"/>
    <col min="9934" max="9934" width="24.42578125" style="94" customWidth="1"/>
    <col min="9935" max="9935" width="19.85546875" style="94" customWidth="1"/>
    <col min="9936" max="9936" width="9.28515625" style="94" customWidth="1"/>
    <col min="9937" max="9937" width="10" style="94" customWidth="1"/>
    <col min="9938" max="9938" width="8.42578125" style="94" customWidth="1"/>
    <col min="9939" max="9939" width="12.28515625" style="94" customWidth="1"/>
    <col min="9940" max="9940" width="7.5703125" style="94" customWidth="1"/>
    <col min="9941" max="9941" width="7.85546875" style="94" customWidth="1"/>
    <col min="9942" max="9942" width="8.28515625" style="94" customWidth="1"/>
    <col min="9943" max="9943" width="9.140625" style="94"/>
    <col min="9944" max="9946" width="7.5703125" style="94" customWidth="1"/>
    <col min="9947" max="9947" width="10.28515625" style="94" customWidth="1"/>
    <col min="9948" max="9948" width="10.5703125" style="94" customWidth="1"/>
    <col min="9949" max="9949" width="11.140625" style="94" customWidth="1"/>
    <col min="9950" max="9950" width="10.42578125" style="94" customWidth="1"/>
    <col min="9951" max="9960" width="11" style="94" customWidth="1"/>
    <col min="9961" max="9961" width="9.140625" style="94" customWidth="1"/>
    <col min="9962" max="9962" width="6.85546875" style="94" customWidth="1"/>
    <col min="9963" max="9963" width="15" style="94" bestFit="1" customWidth="1"/>
    <col min="9964" max="10188" width="9.140625" style="94"/>
    <col min="10189" max="10189" width="4" style="94" customWidth="1"/>
    <col min="10190" max="10190" width="24.42578125" style="94" customWidth="1"/>
    <col min="10191" max="10191" width="19.85546875" style="94" customWidth="1"/>
    <col min="10192" max="10192" width="9.28515625" style="94" customWidth="1"/>
    <col min="10193" max="10193" width="10" style="94" customWidth="1"/>
    <col min="10194" max="10194" width="8.42578125" style="94" customWidth="1"/>
    <col min="10195" max="10195" width="12.28515625" style="94" customWidth="1"/>
    <col min="10196" max="10196" width="7.5703125" style="94" customWidth="1"/>
    <col min="10197" max="10197" width="7.85546875" style="94" customWidth="1"/>
    <col min="10198" max="10198" width="8.28515625" style="94" customWidth="1"/>
    <col min="10199" max="10199" width="9.140625" style="94"/>
    <col min="10200" max="10202" width="7.5703125" style="94" customWidth="1"/>
    <col min="10203" max="10203" width="10.28515625" style="94" customWidth="1"/>
    <col min="10204" max="10204" width="10.5703125" style="94" customWidth="1"/>
    <col min="10205" max="10205" width="11.140625" style="94" customWidth="1"/>
    <col min="10206" max="10206" width="10.42578125" style="94" customWidth="1"/>
    <col min="10207" max="10216" width="11" style="94" customWidth="1"/>
    <col min="10217" max="10217" width="9.140625" style="94" customWidth="1"/>
    <col min="10218" max="10218" width="6.85546875" style="94" customWidth="1"/>
    <col min="10219" max="10219" width="15" style="94" bestFit="1" customWidth="1"/>
    <col min="10220" max="10444" width="9.140625" style="94"/>
    <col min="10445" max="10445" width="4" style="94" customWidth="1"/>
    <col min="10446" max="10446" width="24.42578125" style="94" customWidth="1"/>
    <col min="10447" max="10447" width="19.85546875" style="94" customWidth="1"/>
    <col min="10448" max="10448" width="9.28515625" style="94" customWidth="1"/>
    <col min="10449" max="10449" width="10" style="94" customWidth="1"/>
    <col min="10450" max="10450" width="8.42578125" style="94" customWidth="1"/>
    <col min="10451" max="10451" width="12.28515625" style="94" customWidth="1"/>
    <col min="10452" max="10452" width="7.5703125" style="94" customWidth="1"/>
    <col min="10453" max="10453" width="7.85546875" style="94" customWidth="1"/>
    <col min="10454" max="10454" width="8.28515625" style="94" customWidth="1"/>
    <col min="10455" max="10455" width="9.140625" style="94"/>
    <col min="10456" max="10458" width="7.5703125" style="94" customWidth="1"/>
    <col min="10459" max="10459" width="10.28515625" style="94" customWidth="1"/>
    <col min="10460" max="10460" width="10.5703125" style="94" customWidth="1"/>
    <col min="10461" max="10461" width="11.140625" style="94" customWidth="1"/>
    <col min="10462" max="10462" width="10.42578125" style="94" customWidth="1"/>
    <col min="10463" max="10472" width="11" style="94" customWidth="1"/>
    <col min="10473" max="10473" width="9.140625" style="94" customWidth="1"/>
    <col min="10474" max="10474" width="6.85546875" style="94" customWidth="1"/>
    <col min="10475" max="10475" width="15" style="94" bestFit="1" customWidth="1"/>
    <col min="10476" max="10700" width="9.140625" style="94"/>
    <col min="10701" max="10701" width="4" style="94" customWidth="1"/>
    <col min="10702" max="10702" width="24.42578125" style="94" customWidth="1"/>
    <col min="10703" max="10703" width="19.85546875" style="94" customWidth="1"/>
    <col min="10704" max="10704" width="9.28515625" style="94" customWidth="1"/>
    <col min="10705" max="10705" width="10" style="94" customWidth="1"/>
    <col min="10706" max="10706" width="8.42578125" style="94" customWidth="1"/>
    <col min="10707" max="10707" width="12.28515625" style="94" customWidth="1"/>
    <col min="10708" max="10708" width="7.5703125" style="94" customWidth="1"/>
    <col min="10709" max="10709" width="7.85546875" style="94" customWidth="1"/>
    <col min="10710" max="10710" width="8.28515625" style="94" customWidth="1"/>
    <col min="10711" max="10711" width="9.140625" style="94"/>
    <col min="10712" max="10714" width="7.5703125" style="94" customWidth="1"/>
    <col min="10715" max="10715" width="10.28515625" style="94" customWidth="1"/>
    <col min="10716" max="10716" width="10.5703125" style="94" customWidth="1"/>
    <col min="10717" max="10717" width="11.140625" style="94" customWidth="1"/>
    <col min="10718" max="10718" width="10.42578125" style="94" customWidth="1"/>
    <col min="10719" max="10728" width="11" style="94" customWidth="1"/>
    <col min="10729" max="10729" width="9.140625" style="94" customWidth="1"/>
    <col min="10730" max="10730" width="6.85546875" style="94" customWidth="1"/>
    <col min="10731" max="10731" width="15" style="94" bestFit="1" customWidth="1"/>
    <col min="10732" max="10956" width="9.140625" style="94"/>
    <col min="10957" max="10957" width="4" style="94" customWidth="1"/>
    <col min="10958" max="10958" width="24.42578125" style="94" customWidth="1"/>
    <col min="10959" max="10959" width="19.85546875" style="94" customWidth="1"/>
    <col min="10960" max="10960" width="9.28515625" style="94" customWidth="1"/>
    <col min="10961" max="10961" width="10" style="94" customWidth="1"/>
    <col min="10962" max="10962" width="8.42578125" style="94" customWidth="1"/>
    <col min="10963" max="10963" width="12.28515625" style="94" customWidth="1"/>
    <col min="10964" max="10964" width="7.5703125" style="94" customWidth="1"/>
    <col min="10965" max="10965" width="7.85546875" style="94" customWidth="1"/>
    <col min="10966" max="10966" width="8.28515625" style="94" customWidth="1"/>
    <col min="10967" max="10967" width="9.140625" style="94"/>
    <col min="10968" max="10970" width="7.5703125" style="94" customWidth="1"/>
    <col min="10971" max="10971" width="10.28515625" style="94" customWidth="1"/>
    <col min="10972" max="10972" width="10.5703125" style="94" customWidth="1"/>
    <col min="10973" max="10973" width="11.140625" style="94" customWidth="1"/>
    <col min="10974" max="10974" width="10.42578125" style="94" customWidth="1"/>
    <col min="10975" max="10984" width="11" style="94" customWidth="1"/>
    <col min="10985" max="10985" width="9.140625" style="94" customWidth="1"/>
    <col min="10986" max="10986" width="6.85546875" style="94" customWidth="1"/>
    <col min="10987" max="10987" width="15" style="94" bestFit="1" customWidth="1"/>
    <col min="10988" max="11212" width="9.140625" style="94"/>
    <col min="11213" max="11213" width="4" style="94" customWidth="1"/>
    <col min="11214" max="11214" width="24.42578125" style="94" customWidth="1"/>
    <col min="11215" max="11215" width="19.85546875" style="94" customWidth="1"/>
    <col min="11216" max="11216" width="9.28515625" style="94" customWidth="1"/>
    <col min="11217" max="11217" width="10" style="94" customWidth="1"/>
    <col min="11218" max="11218" width="8.42578125" style="94" customWidth="1"/>
    <col min="11219" max="11219" width="12.28515625" style="94" customWidth="1"/>
    <col min="11220" max="11220" width="7.5703125" style="94" customWidth="1"/>
    <col min="11221" max="11221" width="7.85546875" style="94" customWidth="1"/>
    <col min="11222" max="11222" width="8.28515625" style="94" customWidth="1"/>
    <col min="11223" max="11223" width="9.140625" style="94"/>
    <col min="11224" max="11226" width="7.5703125" style="94" customWidth="1"/>
    <col min="11227" max="11227" width="10.28515625" style="94" customWidth="1"/>
    <col min="11228" max="11228" width="10.5703125" style="94" customWidth="1"/>
    <col min="11229" max="11229" width="11.140625" style="94" customWidth="1"/>
    <col min="11230" max="11230" width="10.42578125" style="94" customWidth="1"/>
    <col min="11231" max="11240" width="11" style="94" customWidth="1"/>
    <col min="11241" max="11241" width="9.140625" style="94" customWidth="1"/>
    <col min="11242" max="11242" width="6.85546875" style="94" customWidth="1"/>
    <col min="11243" max="11243" width="15" style="94" bestFit="1" customWidth="1"/>
    <col min="11244" max="11468" width="9.140625" style="94"/>
    <col min="11469" max="11469" width="4" style="94" customWidth="1"/>
    <col min="11470" max="11470" width="24.42578125" style="94" customWidth="1"/>
    <col min="11471" max="11471" width="19.85546875" style="94" customWidth="1"/>
    <col min="11472" max="11472" width="9.28515625" style="94" customWidth="1"/>
    <col min="11473" max="11473" width="10" style="94" customWidth="1"/>
    <col min="11474" max="11474" width="8.42578125" style="94" customWidth="1"/>
    <col min="11475" max="11475" width="12.28515625" style="94" customWidth="1"/>
    <col min="11476" max="11476" width="7.5703125" style="94" customWidth="1"/>
    <col min="11477" max="11477" width="7.85546875" style="94" customWidth="1"/>
    <col min="11478" max="11478" width="8.28515625" style="94" customWidth="1"/>
    <col min="11479" max="11479" width="9.140625" style="94"/>
    <col min="11480" max="11482" width="7.5703125" style="94" customWidth="1"/>
    <col min="11483" max="11483" width="10.28515625" style="94" customWidth="1"/>
    <col min="11484" max="11484" width="10.5703125" style="94" customWidth="1"/>
    <col min="11485" max="11485" width="11.140625" style="94" customWidth="1"/>
    <col min="11486" max="11486" width="10.42578125" style="94" customWidth="1"/>
    <col min="11487" max="11496" width="11" style="94" customWidth="1"/>
    <col min="11497" max="11497" width="9.140625" style="94" customWidth="1"/>
    <col min="11498" max="11498" width="6.85546875" style="94" customWidth="1"/>
    <col min="11499" max="11499" width="15" style="94" bestFit="1" customWidth="1"/>
    <col min="11500" max="11724" width="9.140625" style="94"/>
    <col min="11725" max="11725" width="4" style="94" customWidth="1"/>
    <col min="11726" max="11726" width="24.42578125" style="94" customWidth="1"/>
    <col min="11727" max="11727" width="19.85546875" style="94" customWidth="1"/>
    <col min="11728" max="11728" width="9.28515625" style="94" customWidth="1"/>
    <col min="11729" max="11729" width="10" style="94" customWidth="1"/>
    <col min="11730" max="11730" width="8.42578125" style="94" customWidth="1"/>
    <col min="11731" max="11731" width="12.28515625" style="94" customWidth="1"/>
    <col min="11732" max="11732" width="7.5703125" style="94" customWidth="1"/>
    <col min="11733" max="11733" width="7.85546875" style="94" customWidth="1"/>
    <col min="11734" max="11734" width="8.28515625" style="94" customWidth="1"/>
    <col min="11735" max="11735" width="9.140625" style="94"/>
    <col min="11736" max="11738" width="7.5703125" style="94" customWidth="1"/>
    <col min="11739" max="11739" width="10.28515625" style="94" customWidth="1"/>
    <col min="11740" max="11740" width="10.5703125" style="94" customWidth="1"/>
    <col min="11741" max="11741" width="11.140625" style="94" customWidth="1"/>
    <col min="11742" max="11742" width="10.42578125" style="94" customWidth="1"/>
    <col min="11743" max="11752" width="11" style="94" customWidth="1"/>
    <col min="11753" max="11753" width="9.140625" style="94" customWidth="1"/>
    <col min="11754" max="11754" width="6.85546875" style="94" customWidth="1"/>
    <col min="11755" max="11755" width="15" style="94" bestFit="1" customWidth="1"/>
    <col min="11756" max="11980" width="9.140625" style="94"/>
    <col min="11981" max="11981" width="4" style="94" customWidth="1"/>
    <col min="11982" max="11982" width="24.42578125" style="94" customWidth="1"/>
    <col min="11983" max="11983" width="19.85546875" style="94" customWidth="1"/>
    <col min="11984" max="11984" width="9.28515625" style="94" customWidth="1"/>
    <col min="11985" max="11985" width="10" style="94" customWidth="1"/>
    <col min="11986" max="11986" width="8.42578125" style="94" customWidth="1"/>
    <col min="11987" max="11987" width="12.28515625" style="94" customWidth="1"/>
    <col min="11988" max="11988" width="7.5703125" style="94" customWidth="1"/>
    <col min="11989" max="11989" width="7.85546875" style="94" customWidth="1"/>
    <col min="11990" max="11990" width="8.28515625" style="94" customWidth="1"/>
    <col min="11991" max="11991" width="9.140625" style="94"/>
    <col min="11992" max="11994" width="7.5703125" style="94" customWidth="1"/>
    <col min="11995" max="11995" width="10.28515625" style="94" customWidth="1"/>
    <col min="11996" max="11996" width="10.5703125" style="94" customWidth="1"/>
    <col min="11997" max="11997" width="11.140625" style="94" customWidth="1"/>
    <col min="11998" max="11998" width="10.42578125" style="94" customWidth="1"/>
    <col min="11999" max="12008" width="11" style="94" customWidth="1"/>
    <col min="12009" max="12009" width="9.140625" style="94" customWidth="1"/>
    <col min="12010" max="12010" width="6.85546875" style="94" customWidth="1"/>
    <col min="12011" max="12011" width="15" style="94" bestFit="1" customWidth="1"/>
    <col min="12012" max="12236" width="9.140625" style="94"/>
    <col min="12237" max="12237" width="4" style="94" customWidth="1"/>
    <col min="12238" max="12238" width="24.42578125" style="94" customWidth="1"/>
    <col min="12239" max="12239" width="19.85546875" style="94" customWidth="1"/>
    <col min="12240" max="12240" width="9.28515625" style="94" customWidth="1"/>
    <col min="12241" max="12241" width="10" style="94" customWidth="1"/>
    <col min="12242" max="12242" width="8.42578125" style="94" customWidth="1"/>
    <col min="12243" max="12243" width="12.28515625" style="94" customWidth="1"/>
    <col min="12244" max="12244" width="7.5703125" style="94" customWidth="1"/>
    <col min="12245" max="12245" width="7.85546875" style="94" customWidth="1"/>
    <col min="12246" max="12246" width="8.28515625" style="94" customWidth="1"/>
    <col min="12247" max="12247" width="9.140625" style="94"/>
    <col min="12248" max="12250" width="7.5703125" style="94" customWidth="1"/>
    <col min="12251" max="12251" width="10.28515625" style="94" customWidth="1"/>
    <col min="12252" max="12252" width="10.5703125" style="94" customWidth="1"/>
    <col min="12253" max="12253" width="11.140625" style="94" customWidth="1"/>
    <col min="12254" max="12254" width="10.42578125" style="94" customWidth="1"/>
    <col min="12255" max="12264" width="11" style="94" customWidth="1"/>
    <col min="12265" max="12265" width="9.140625" style="94" customWidth="1"/>
    <col min="12266" max="12266" width="6.85546875" style="94" customWidth="1"/>
    <col min="12267" max="12267" width="15" style="94" bestFit="1" customWidth="1"/>
    <col min="12268" max="12492" width="9.140625" style="94"/>
    <col min="12493" max="12493" width="4" style="94" customWidth="1"/>
    <col min="12494" max="12494" width="24.42578125" style="94" customWidth="1"/>
    <col min="12495" max="12495" width="19.85546875" style="94" customWidth="1"/>
    <col min="12496" max="12496" width="9.28515625" style="94" customWidth="1"/>
    <col min="12497" max="12497" width="10" style="94" customWidth="1"/>
    <col min="12498" max="12498" width="8.42578125" style="94" customWidth="1"/>
    <col min="12499" max="12499" width="12.28515625" style="94" customWidth="1"/>
    <col min="12500" max="12500" width="7.5703125" style="94" customWidth="1"/>
    <col min="12501" max="12501" width="7.85546875" style="94" customWidth="1"/>
    <col min="12502" max="12502" width="8.28515625" style="94" customWidth="1"/>
    <col min="12503" max="12503" width="9.140625" style="94"/>
    <col min="12504" max="12506" width="7.5703125" style="94" customWidth="1"/>
    <col min="12507" max="12507" width="10.28515625" style="94" customWidth="1"/>
    <col min="12508" max="12508" width="10.5703125" style="94" customWidth="1"/>
    <col min="12509" max="12509" width="11.140625" style="94" customWidth="1"/>
    <col min="12510" max="12510" width="10.42578125" style="94" customWidth="1"/>
    <col min="12511" max="12520" width="11" style="94" customWidth="1"/>
    <col min="12521" max="12521" width="9.140625" style="94" customWidth="1"/>
    <col min="12522" max="12522" width="6.85546875" style="94" customWidth="1"/>
    <col min="12523" max="12523" width="15" style="94" bestFit="1" customWidth="1"/>
    <col min="12524" max="12748" width="9.140625" style="94"/>
    <col min="12749" max="12749" width="4" style="94" customWidth="1"/>
    <col min="12750" max="12750" width="24.42578125" style="94" customWidth="1"/>
    <col min="12751" max="12751" width="19.85546875" style="94" customWidth="1"/>
    <col min="12752" max="12752" width="9.28515625" style="94" customWidth="1"/>
    <col min="12753" max="12753" width="10" style="94" customWidth="1"/>
    <col min="12754" max="12754" width="8.42578125" style="94" customWidth="1"/>
    <col min="12755" max="12755" width="12.28515625" style="94" customWidth="1"/>
    <col min="12756" max="12756" width="7.5703125" style="94" customWidth="1"/>
    <col min="12757" max="12757" width="7.85546875" style="94" customWidth="1"/>
    <col min="12758" max="12758" width="8.28515625" style="94" customWidth="1"/>
    <col min="12759" max="12759" width="9.140625" style="94"/>
    <col min="12760" max="12762" width="7.5703125" style="94" customWidth="1"/>
    <col min="12763" max="12763" width="10.28515625" style="94" customWidth="1"/>
    <col min="12764" max="12764" width="10.5703125" style="94" customWidth="1"/>
    <col min="12765" max="12765" width="11.140625" style="94" customWidth="1"/>
    <col min="12766" max="12766" width="10.42578125" style="94" customWidth="1"/>
    <col min="12767" max="12776" width="11" style="94" customWidth="1"/>
    <col min="12777" max="12777" width="9.140625" style="94" customWidth="1"/>
    <col min="12778" max="12778" width="6.85546875" style="94" customWidth="1"/>
    <col min="12779" max="12779" width="15" style="94" bestFit="1" customWidth="1"/>
    <col min="12780" max="13004" width="9.140625" style="94"/>
    <col min="13005" max="13005" width="4" style="94" customWidth="1"/>
    <col min="13006" max="13006" width="24.42578125" style="94" customWidth="1"/>
    <col min="13007" max="13007" width="19.85546875" style="94" customWidth="1"/>
    <col min="13008" max="13008" width="9.28515625" style="94" customWidth="1"/>
    <col min="13009" max="13009" width="10" style="94" customWidth="1"/>
    <col min="13010" max="13010" width="8.42578125" style="94" customWidth="1"/>
    <col min="13011" max="13011" width="12.28515625" style="94" customWidth="1"/>
    <col min="13012" max="13012" width="7.5703125" style="94" customWidth="1"/>
    <col min="13013" max="13013" width="7.85546875" style="94" customWidth="1"/>
    <col min="13014" max="13014" width="8.28515625" style="94" customWidth="1"/>
    <col min="13015" max="13015" width="9.140625" style="94"/>
    <col min="13016" max="13018" width="7.5703125" style="94" customWidth="1"/>
    <col min="13019" max="13019" width="10.28515625" style="94" customWidth="1"/>
    <col min="13020" max="13020" width="10.5703125" style="94" customWidth="1"/>
    <col min="13021" max="13021" width="11.140625" style="94" customWidth="1"/>
    <col min="13022" max="13022" width="10.42578125" style="94" customWidth="1"/>
    <col min="13023" max="13032" width="11" style="94" customWidth="1"/>
    <col min="13033" max="13033" width="9.140625" style="94" customWidth="1"/>
    <col min="13034" max="13034" width="6.85546875" style="94" customWidth="1"/>
    <col min="13035" max="13035" width="15" style="94" bestFit="1" customWidth="1"/>
    <col min="13036" max="13260" width="9.140625" style="94"/>
    <col min="13261" max="13261" width="4" style="94" customWidth="1"/>
    <col min="13262" max="13262" width="24.42578125" style="94" customWidth="1"/>
    <col min="13263" max="13263" width="19.85546875" style="94" customWidth="1"/>
    <col min="13264" max="13264" width="9.28515625" style="94" customWidth="1"/>
    <col min="13265" max="13265" width="10" style="94" customWidth="1"/>
    <col min="13266" max="13266" width="8.42578125" style="94" customWidth="1"/>
    <col min="13267" max="13267" width="12.28515625" style="94" customWidth="1"/>
    <col min="13268" max="13268" width="7.5703125" style="94" customWidth="1"/>
    <col min="13269" max="13269" width="7.85546875" style="94" customWidth="1"/>
    <col min="13270" max="13270" width="8.28515625" style="94" customWidth="1"/>
    <col min="13271" max="13271" width="9.140625" style="94"/>
    <col min="13272" max="13274" width="7.5703125" style="94" customWidth="1"/>
    <col min="13275" max="13275" width="10.28515625" style="94" customWidth="1"/>
    <col min="13276" max="13276" width="10.5703125" style="94" customWidth="1"/>
    <col min="13277" max="13277" width="11.140625" style="94" customWidth="1"/>
    <col min="13278" max="13278" width="10.42578125" style="94" customWidth="1"/>
    <col min="13279" max="13288" width="11" style="94" customWidth="1"/>
    <col min="13289" max="13289" width="9.140625" style="94" customWidth="1"/>
    <col min="13290" max="13290" width="6.85546875" style="94" customWidth="1"/>
    <col min="13291" max="13291" width="15" style="94" bestFit="1" customWidth="1"/>
    <col min="13292" max="13516" width="9.140625" style="94"/>
    <col min="13517" max="13517" width="4" style="94" customWidth="1"/>
    <col min="13518" max="13518" width="24.42578125" style="94" customWidth="1"/>
    <col min="13519" max="13519" width="19.85546875" style="94" customWidth="1"/>
    <col min="13520" max="13520" width="9.28515625" style="94" customWidth="1"/>
    <col min="13521" max="13521" width="10" style="94" customWidth="1"/>
    <col min="13522" max="13522" width="8.42578125" style="94" customWidth="1"/>
    <col min="13523" max="13523" width="12.28515625" style="94" customWidth="1"/>
    <col min="13524" max="13524" width="7.5703125" style="94" customWidth="1"/>
    <col min="13525" max="13525" width="7.85546875" style="94" customWidth="1"/>
    <col min="13526" max="13526" width="8.28515625" style="94" customWidth="1"/>
    <col min="13527" max="13527" width="9.140625" style="94"/>
    <col min="13528" max="13530" width="7.5703125" style="94" customWidth="1"/>
    <col min="13531" max="13531" width="10.28515625" style="94" customWidth="1"/>
    <col min="13532" max="13532" width="10.5703125" style="94" customWidth="1"/>
    <col min="13533" max="13533" width="11.140625" style="94" customWidth="1"/>
    <col min="13534" max="13534" width="10.42578125" style="94" customWidth="1"/>
    <col min="13535" max="13544" width="11" style="94" customWidth="1"/>
    <col min="13545" max="13545" width="9.140625" style="94" customWidth="1"/>
    <col min="13546" max="13546" width="6.85546875" style="94" customWidth="1"/>
    <col min="13547" max="13547" width="15" style="94" bestFit="1" customWidth="1"/>
    <col min="13548" max="13772" width="9.140625" style="94"/>
    <col min="13773" max="13773" width="4" style="94" customWidth="1"/>
    <col min="13774" max="13774" width="24.42578125" style="94" customWidth="1"/>
    <col min="13775" max="13775" width="19.85546875" style="94" customWidth="1"/>
    <col min="13776" max="13776" width="9.28515625" style="94" customWidth="1"/>
    <col min="13777" max="13777" width="10" style="94" customWidth="1"/>
    <col min="13778" max="13778" width="8.42578125" style="94" customWidth="1"/>
    <col min="13779" max="13779" width="12.28515625" style="94" customWidth="1"/>
    <col min="13780" max="13780" width="7.5703125" style="94" customWidth="1"/>
    <col min="13781" max="13781" width="7.85546875" style="94" customWidth="1"/>
    <col min="13782" max="13782" width="8.28515625" style="94" customWidth="1"/>
    <col min="13783" max="13783" width="9.140625" style="94"/>
    <col min="13784" max="13786" width="7.5703125" style="94" customWidth="1"/>
    <col min="13787" max="13787" width="10.28515625" style="94" customWidth="1"/>
    <col min="13788" max="13788" width="10.5703125" style="94" customWidth="1"/>
    <col min="13789" max="13789" width="11.140625" style="94" customWidth="1"/>
    <col min="13790" max="13790" width="10.42578125" style="94" customWidth="1"/>
    <col min="13791" max="13800" width="11" style="94" customWidth="1"/>
    <col min="13801" max="13801" width="9.140625" style="94" customWidth="1"/>
    <col min="13802" max="13802" width="6.85546875" style="94" customWidth="1"/>
    <col min="13803" max="13803" width="15" style="94" bestFit="1" customWidth="1"/>
    <col min="13804" max="14028" width="9.140625" style="94"/>
    <col min="14029" max="14029" width="4" style="94" customWidth="1"/>
    <col min="14030" max="14030" width="24.42578125" style="94" customWidth="1"/>
    <col min="14031" max="14031" width="19.85546875" style="94" customWidth="1"/>
    <col min="14032" max="14032" width="9.28515625" style="94" customWidth="1"/>
    <col min="14033" max="14033" width="10" style="94" customWidth="1"/>
    <col min="14034" max="14034" width="8.42578125" style="94" customWidth="1"/>
    <col min="14035" max="14035" width="12.28515625" style="94" customWidth="1"/>
    <col min="14036" max="14036" width="7.5703125" style="94" customWidth="1"/>
    <col min="14037" max="14037" width="7.85546875" style="94" customWidth="1"/>
    <col min="14038" max="14038" width="8.28515625" style="94" customWidth="1"/>
    <col min="14039" max="14039" width="9.140625" style="94"/>
    <col min="14040" max="14042" width="7.5703125" style="94" customWidth="1"/>
    <col min="14043" max="14043" width="10.28515625" style="94" customWidth="1"/>
    <col min="14044" max="14044" width="10.5703125" style="94" customWidth="1"/>
    <col min="14045" max="14045" width="11.140625" style="94" customWidth="1"/>
    <col min="14046" max="14046" width="10.42578125" style="94" customWidth="1"/>
    <col min="14047" max="14056" width="11" style="94" customWidth="1"/>
    <col min="14057" max="14057" width="9.140625" style="94" customWidth="1"/>
    <col min="14058" max="14058" width="6.85546875" style="94" customWidth="1"/>
    <col min="14059" max="14059" width="15" style="94" bestFit="1" customWidth="1"/>
    <col min="14060" max="14284" width="9.140625" style="94"/>
    <col min="14285" max="14285" width="4" style="94" customWidth="1"/>
    <col min="14286" max="14286" width="24.42578125" style="94" customWidth="1"/>
    <col min="14287" max="14287" width="19.85546875" style="94" customWidth="1"/>
    <col min="14288" max="14288" width="9.28515625" style="94" customWidth="1"/>
    <col min="14289" max="14289" width="10" style="94" customWidth="1"/>
    <col min="14290" max="14290" width="8.42578125" style="94" customWidth="1"/>
    <col min="14291" max="14291" width="12.28515625" style="94" customWidth="1"/>
    <col min="14292" max="14292" width="7.5703125" style="94" customWidth="1"/>
    <col min="14293" max="14293" width="7.85546875" style="94" customWidth="1"/>
    <col min="14294" max="14294" width="8.28515625" style="94" customWidth="1"/>
    <col min="14295" max="14295" width="9.140625" style="94"/>
    <col min="14296" max="14298" width="7.5703125" style="94" customWidth="1"/>
    <col min="14299" max="14299" width="10.28515625" style="94" customWidth="1"/>
    <col min="14300" max="14300" width="10.5703125" style="94" customWidth="1"/>
    <col min="14301" max="14301" width="11.140625" style="94" customWidth="1"/>
    <col min="14302" max="14302" width="10.42578125" style="94" customWidth="1"/>
    <col min="14303" max="14312" width="11" style="94" customWidth="1"/>
    <col min="14313" max="14313" width="9.140625" style="94" customWidth="1"/>
    <col min="14314" max="14314" width="6.85546875" style="94" customWidth="1"/>
    <col min="14315" max="14315" width="15" style="94" bestFit="1" customWidth="1"/>
    <col min="14316" max="14540" width="9.140625" style="94"/>
    <col min="14541" max="14541" width="4" style="94" customWidth="1"/>
    <col min="14542" max="14542" width="24.42578125" style="94" customWidth="1"/>
    <col min="14543" max="14543" width="19.85546875" style="94" customWidth="1"/>
    <col min="14544" max="14544" width="9.28515625" style="94" customWidth="1"/>
    <col min="14545" max="14545" width="10" style="94" customWidth="1"/>
    <col min="14546" max="14546" width="8.42578125" style="94" customWidth="1"/>
    <col min="14547" max="14547" width="12.28515625" style="94" customWidth="1"/>
    <col min="14548" max="14548" width="7.5703125" style="94" customWidth="1"/>
    <col min="14549" max="14549" width="7.85546875" style="94" customWidth="1"/>
    <col min="14550" max="14550" width="8.28515625" style="94" customWidth="1"/>
    <col min="14551" max="14551" width="9.140625" style="94"/>
    <col min="14552" max="14554" width="7.5703125" style="94" customWidth="1"/>
    <col min="14555" max="14555" width="10.28515625" style="94" customWidth="1"/>
    <col min="14556" max="14556" width="10.5703125" style="94" customWidth="1"/>
    <col min="14557" max="14557" width="11.140625" style="94" customWidth="1"/>
    <col min="14558" max="14558" width="10.42578125" style="94" customWidth="1"/>
    <col min="14559" max="14568" width="11" style="94" customWidth="1"/>
    <col min="14569" max="14569" width="9.140625" style="94" customWidth="1"/>
    <col min="14570" max="14570" width="6.85546875" style="94" customWidth="1"/>
    <col min="14571" max="14571" width="15" style="94" bestFit="1" customWidth="1"/>
    <col min="14572" max="14796" width="9.140625" style="94"/>
    <col min="14797" max="14797" width="4" style="94" customWidth="1"/>
    <col min="14798" max="14798" width="24.42578125" style="94" customWidth="1"/>
    <col min="14799" max="14799" width="19.85546875" style="94" customWidth="1"/>
    <col min="14800" max="14800" width="9.28515625" style="94" customWidth="1"/>
    <col min="14801" max="14801" width="10" style="94" customWidth="1"/>
    <col min="14802" max="14802" width="8.42578125" style="94" customWidth="1"/>
    <col min="14803" max="14803" width="12.28515625" style="94" customWidth="1"/>
    <col min="14804" max="14804" width="7.5703125" style="94" customWidth="1"/>
    <col min="14805" max="14805" width="7.85546875" style="94" customWidth="1"/>
    <col min="14806" max="14806" width="8.28515625" style="94" customWidth="1"/>
    <col min="14807" max="14807" width="9.140625" style="94"/>
    <col min="14808" max="14810" width="7.5703125" style="94" customWidth="1"/>
    <col min="14811" max="14811" width="10.28515625" style="94" customWidth="1"/>
    <col min="14812" max="14812" width="10.5703125" style="94" customWidth="1"/>
    <col min="14813" max="14813" width="11.140625" style="94" customWidth="1"/>
    <col min="14814" max="14814" width="10.42578125" style="94" customWidth="1"/>
    <col min="14815" max="14824" width="11" style="94" customWidth="1"/>
    <col min="14825" max="14825" width="9.140625" style="94" customWidth="1"/>
    <col min="14826" max="14826" width="6.85546875" style="94" customWidth="1"/>
    <col min="14827" max="14827" width="15" style="94" bestFit="1" customWidth="1"/>
    <col min="14828" max="15052" width="9.140625" style="94"/>
    <col min="15053" max="15053" width="4" style="94" customWidth="1"/>
    <col min="15054" max="15054" width="24.42578125" style="94" customWidth="1"/>
    <col min="15055" max="15055" width="19.85546875" style="94" customWidth="1"/>
    <col min="15056" max="15056" width="9.28515625" style="94" customWidth="1"/>
    <col min="15057" max="15057" width="10" style="94" customWidth="1"/>
    <col min="15058" max="15058" width="8.42578125" style="94" customWidth="1"/>
    <col min="15059" max="15059" width="12.28515625" style="94" customWidth="1"/>
    <col min="15060" max="15060" width="7.5703125" style="94" customWidth="1"/>
    <col min="15061" max="15061" width="7.85546875" style="94" customWidth="1"/>
    <col min="15062" max="15062" width="8.28515625" style="94" customWidth="1"/>
    <col min="15063" max="15063" width="9.140625" style="94"/>
    <col min="15064" max="15066" width="7.5703125" style="94" customWidth="1"/>
    <col min="15067" max="15067" width="10.28515625" style="94" customWidth="1"/>
    <col min="15068" max="15068" width="10.5703125" style="94" customWidth="1"/>
    <col min="15069" max="15069" width="11.140625" style="94" customWidth="1"/>
    <col min="15070" max="15070" width="10.42578125" style="94" customWidth="1"/>
    <col min="15071" max="15080" width="11" style="94" customWidth="1"/>
    <col min="15081" max="15081" width="9.140625" style="94" customWidth="1"/>
    <col min="15082" max="15082" width="6.85546875" style="94" customWidth="1"/>
    <col min="15083" max="15083" width="15" style="94" bestFit="1" customWidth="1"/>
    <col min="15084" max="15308" width="9.140625" style="94"/>
    <col min="15309" max="15309" width="4" style="94" customWidth="1"/>
    <col min="15310" max="15310" width="24.42578125" style="94" customWidth="1"/>
    <col min="15311" max="15311" width="19.85546875" style="94" customWidth="1"/>
    <col min="15312" max="15312" width="9.28515625" style="94" customWidth="1"/>
    <col min="15313" max="15313" width="10" style="94" customWidth="1"/>
    <col min="15314" max="15314" width="8.42578125" style="94" customWidth="1"/>
    <col min="15315" max="15315" width="12.28515625" style="94" customWidth="1"/>
    <col min="15316" max="15316" width="7.5703125" style="94" customWidth="1"/>
    <col min="15317" max="15317" width="7.85546875" style="94" customWidth="1"/>
    <col min="15318" max="15318" width="8.28515625" style="94" customWidth="1"/>
    <col min="15319" max="15319" width="9.140625" style="94"/>
    <col min="15320" max="15322" width="7.5703125" style="94" customWidth="1"/>
    <col min="15323" max="15323" width="10.28515625" style="94" customWidth="1"/>
    <col min="15324" max="15324" width="10.5703125" style="94" customWidth="1"/>
    <col min="15325" max="15325" width="11.140625" style="94" customWidth="1"/>
    <col min="15326" max="15326" width="10.42578125" style="94" customWidth="1"/>
    <col min="15327" max="15336" width="11" style="94" customWidth="1"/>
    <col min="15337" max="15337" width="9.140625" style="94" customWidth="1"/>
    <col min="15338" max="15338" width="6.85546875" style="94" customWidth="1"/>
    <col min="15339" max="15339" width="15" style="94" bestFit="1" customWidth="1"/>
    <col min="15340" max="15564" width="9.140625" style="94"/>
    <col min="15565" max="15565" width="4" style="94" customWidth="1"/>
    <col min="15566" max="15566" width="24.42578125" style="94" customWidth="1"/>
    <col min="15567" max="15567" width="19.85546875" style="94" customWidth="1"/>
    <col min="15568" max="15568" width="9.28515625" style="94" customWidth="1"/>
    <col min="15569" max="15569" width="10" style="94" customWidth="1"/>
    <col min="15570" max="15570" width="8.42578125" style="94" customWidth="1"/>
    <col min="15571" max="15571" width="12.28515625" style="94" customWidth="1"/>
    <col min="15572" max="15572" width="7.5703125" style="94" customWidth="1"/>
    <col min="15573" max="15573" width="7.85546875" style="94" customWidth="1"/>
    <col min="15574" max="15574" width="8.28515625" style="94" customWidth="1"/>
    <col min="15575" max="15575" width="9.140625" style="94"/>
    <col min="15576" max="15578" width="7.5703125" style="94" customWidth="1"/>
    <col min="15579" max="15579" width="10.28515625" style="94" customWidth="1"/>
    <col min="15580" max="15580" width="10.5703125" style="94" customWidth="1"/>
    <col min="15581" max="15581" width="11.140625" style="94" customWidth="1"/>
    <col min="15582" max="15582" width="10.42578125" style="94" customWidth="1"/>
    <col min="15583" max="15592" width="11" style="94" customWidth="1"/>
    <col min="15593" max="15593" width="9.140625" style="94" customWidth="1"/>
    <col min="15594" max="15594" width="6.85546875" style="94" customWidth="1"/>
    <col min="15595" max="15595" width="15" style="94" bestFit="1" customWidth="1"/>
    <col min="15596" max="15820" width="9.140625" style="94"/>
    <col min="15821" max="15821" width="4" style="94" customWidth="1"/>
    <col min="15822" max="15822" width="24.42578125" style="94" customWidth="1"/>
    <col min="15823" max="15823" width="19.85546875" style="94" customWidth="1"/>
    <col min="15824" max="15824" width="9.28515625" style="94" customWidth="1"/>
    <col min="15825" max="15825" width="10" style="94" customWidth="1"/>
    <col min="15826" max="15826" width="8.42578125" style="94" customWidth="1"/>
    <col min="15827" max="15827" width="12.28515625" style="94" customWidth="1"/>
    <col min="15828" max="15828" width="7.5703125" style="94" customWidth="1"/>
    <col min="15829" max="15829" width="7.85546875" style="94" customWidth="1"/>
    <col min="15830" max="15830" width="8.28515625" style="94" customWidth="1"/>
    <col min="15831" max="15831" width="9.140625" style="94"/>
    <col min="15832" max="15834" width="7.5703125" style="94" customWidth="1"/>
    <col min="15835" max="15835" width="10.28515625" style="94" customWidth="1"/>
    <col min="15836" max="15836" width="10.5703125" style="94" customWidth="1"/>
    <col min="15837" max="15837" width="11.140625" style="94" customWidth="1"/>
    <col min="15838" max="15838" width="10.42578125" style="94" customWidth="1"/>
    <col min="15839" max="15848" width="11" style="94" customWidth="1"/>
    <col min="15849" max="15849" width="9.140625" style="94" customWidth="1"/>
    <col min="15850" max="15850" width="6.85546875" style="94" customWidth="1"/>
    <col min="15851" max="15851" width="15" style="94" bestFit="1" customWidth="1"/>
    <col min="15852" max="16076" width="9.140625" style="94"/>
    <col min="16077" max="16077" width="4" style="94" customWidth="1"/>
    <col min="16078" max="16078" width="24.42578125" style="94" customWidth="1"/>
    <col min="16079" max="16079" width="19.85546875" style="94" customWidth="1"/>
    <col min="16080" max="16080" width="9.28515625" style="94" customWidth="1"/>
    <col min="16081" max="16081" width="10" style="94" customWidth="1"/>
    <col min="16082" max="16082" width="8.42578125" style="94" customWidth="1"/>
    <col min="16083" max="16083" width="12.28515625" style="94" customWidth="1"/>
    <col min="16084" max="16084" width="7.5703125" style="94" customWidth="1"/>
    <col min="16085" max="16085" width="7.85546875" style="94" customWidth="1"/>
    <col min="16086" max="16086" width="8.28515625" style="94" customWidth="1"/>
    <col min="16087" max="16087" width="9.140625" style="94"/>
    <col min="16088" max="16090" width="7.5703125" style="94" customWidth="1"/>
    <col min="16091" max="16091" width="10.28515625" style="94" customWidth="1"/>
    <col min="16092" max="16092" width="10.5703125" style="94" customWidth="1"/>
    <col min="16093" max="16093" width="11.140625" style="94" customWidth="1"/>
    <col min="16094" max="16094" width="10.42578125" style="94" customWidth="1"/>
    <col min="16095" max="16104" width="11" style="94" customWidth="1"/>
    <col min="16105" max="16105" width="9.140625" style="94" customWidth="1"/>
    <col min="16106" max="16106" width="6.85546875" style="94" customWidth="1"/>
    <col min="16107" max="16107" width="15" style="94" bestFit="1" customWidth="1"/>
    <col min="16108" max="16384" width="9.140625" style="94"/>
  </cols>
  <sheetData>
    <row r="2" spans="1:21" ht="89.25">
      <c r="A2" s="97" t="s">
        <v>0</v>
      </c>
      <c r="B2" s="98" t="s">
        <v>1</v>
      </c>
      <c r="C2" s="165" t="s">
        <v>208</v>
      </c>
      <c r="D2" s="165" t="s">
        <v>209</v>
      </c>
      <c r="E2" s="165" t="s">
        <v>210</v>
      </c>
      <c r="F2" s="99" t="s">
        <v>153</v>
      </c>
      <c r="G2" s="99" t="s">
        <v>154</v>
      </c>
      <c r="H2" s="99" t="s">
        <v>155</v>
      </c>
      <c r="I2" s="100" t="s">
        <v>156</v>
      </c>
      <c r="J2" s="111" t="s">
        <v>165</v>
      </c>
      <c r="K2" s="100" t="s">
        <v>158</v>
      </c>
      <c r="L2" s="101" t="s">
        <v>159</v>
      </c>
      <c r="M2" s="100" t="s">
        <v>160</v>
      </c>
      <c r="N2" s="102" t="s">
        <v>161</v>
      </c>
      <c r="O2" s="100" t="s">
        <v>162</v>
      </c>
      <c r="P2" s="67" t="s">
        <v>180</v>
      </c>
      <c r="Q2" s="66" t="s">
        <v>174</v>
      </c>
      <c r="R2" s="67" t="s">
        <v>181</v>
      </c>
      <c r="S2" s="66" t="s">
        <v>173</v>
      </c>
      <c r="T2" s="67" t="s">
        <v>182</v>
      </c>
      <c r="U2" s="66" t="s">
        <v>172</v>
      </c>
    </row>
    <row r="3" spans="1:21">
      <c r="A3" s="97"/>
      <c r="B3" s="98"/>
      <c r="C3" s="98"/>
      <c r="D3" s="98"/>
      <c r="E3" s="98"/>
      <c r="F3" s="103"/>
      <c r="G3" s="103"/>
      <c r="H3" s="103"/>
      <c r="I3" s="104"/>
      <c r="J3" s="112"/>
      <c r="K3" s="104"/>
      <c r="L3" s="105">
        <v>2</v>
      </c>
      <c r="M3" s="104"/>
      <c r="N3" s="106">
        <v>10</v>
      </c>
      <c r="O3" s="104"/>
      <c r="P3" s="106">
        <v>3</v>
      </c>
      <c r="Q3" s="104"/>
      <c r="R3" s="106">
        <v>4</v>
      </c>
      <c r="S3" s="104"/>
      <c r="T3" s="106">
        <v>5</v>
      </c>
      <c r="U3" s="104"/>
    </row>
    <row r="4" spans="1:21">
      <c r="A4" s="97"/>
      <c r="B4" s="98"/>
      <c r="C4" s="98"/>
      <c r="D4" s="98"/>
      <c r="E4" s="98"/>
      <c r="F4" s="103"/>
      <c r="G4" s="103"/>
      <c r="H4" s="103"/>
      <c r="I4" s="104"/>
      <c r="J4" s="112"/>
      <c r="K4" s="104"/>
      <c r="L4" s="105">
        <v>12</v>
      </c>
      <c r="M4" s="104"/>
      <c r="N4" s="106">
        <v>12</v>
      </c>
      <c r="O4" s="104"/>
      <c r="P4" s="106">
        <v>12</v>
      </c>
      <c r="Q4" s="104"/>
      <c r="R4" s="106">
        <v>12</v>
      </c>
      <c r="S4" s="104"/>
      <c r="T4" s="106">
        <v>12</v>
      </c>
      <c r="U4" s="104"/>
    </row>
    <row r="5" spans="1:21" ht="33.75" customHeight="1">
      <c r="A5" s="93">
        <v>24</v>
      </c>
      <c r="B5" s="93" t="s">
        <v>90</v>
      </c>
      <c r="C5" s="93">
        <v>226559</v>
      </c>
      <c r="D5" s="93">
        <v>149396</v>
      </c>
      <c r="E5" s="93">
        <v>8147</v>
      </c>
      <c r="F5" s="109">
        <v>413211</v>
      </c>
      <c r="G5" s="107">
        <v>5674061</v>
      </c>
      <c r="H5" s="108">
        <v>8.4500000000000006E-2</v>
      </c>
      <c r="I5" s="107">
        <f>G5*H5</f>
        <v>479458.1545</v>
      </c>
      <c r="J5" s="113">
        <v>3185391</v>
      </c>
      <c r="K5" s="107">
        <f>J5*H5</f>
        <v>269165.53950000001</v>
      </c>
      <c r="L5" s="114">
        <f>F5*$L$3*$L$4</f>
        <v>9917064</v>
      </c>
      <c r="M5" s="107">
        <f>L5*H5</f>
        <v>837991.90800000005</v>
      </c>
      <c r="N5" s="114">
        <f>F5*$N$3*$N$4</f>
        <v>49585320</v>
      </c>
      <c r="O5" s="107">
        <f>N5*H5</f>
        <v>4189959.5400000005</v>
      </c>
      <c r="P5" s="114">
        <f>F5*$P$3*$P$4</f>
        <v>14875596</v>
      </c>
      <c r="Q5" s="107">
        <f>P5*H5</f>
        <v>1256987.8620000002</v>
      </c>
      <c r="R5" s="114">
        <f>F5*$R$3*$R$4</f>
        <v>19834128</v>
      </c>
      <c r="S5" s="107">
        <f>R5*H5</f>
        <v>1675983.8160000001</v>
      </c>
      <c r="T5" s="114">
        <f>F5*$T$3*$T$4</f>
        <v>24792660</v>
      </c>
      <c r="U5" s="107">
        <f>T5*H5</f>
        <v>2094979.7700000003</v>
      </c>
    </row>
    <row r="6" spans="1:21" ht="51.75" customHeight="1">
      <c r="A6" s="93">
        <v>25</v>
      </c>
      <c r="B6" s="93" t="s">
        <v>93</v>
      </c>
      <c r="C6" s="93">
        <v>109690</v>
      </c>
      <c r="D6" s="93">
        <v>73251</v>
      </c>
      <c r="E6" s="93">
        <v>3799</v>
      </c>
      <c r="F6" s="109">
        <v>148344.75</v>
      </c>
      <c r="G6" s="107">
        <v>1840193</v>
      </c>
      <c r="H6" s="108">
        <v>0.1119</v>
      </c>
      <c r="I6" s="107">
        <f t="shared" ref="I6:I7" si="0">G6*H6</f>
        <v>205917.59669999999</v>
      </c>
      <c r="J6" s="113">
        <v>110094</v>
      </c>
      <c r="K6" s="107">
        <f t="shared" ref="K6:K7" si="1">J6*H6</f>
        <v>12319.518599999999</v>
      </c>
      <c r="L6" s="114">
        <f t="shared" ref="L6:L7" si="2">F6*$L$3*$L$4</f>
        <v>3560274</v>
      </c>
      <c r="M6" s="107">
        <f t="shared" ref="M6:M7" si="3">L6*H6</f>
        <v>398394.6606</v>
      </c>
      <c r="N6" s="114">
        <f t="shared" ref="N6:N7" si="4">F6*$N$3*$N$4</f>
        <v>17801370</v>
      </c>
      <c r="O6" s="107">
        <f t="shared" ref="O6:O7" si="5">N6*H6</f>
        <v>1991973.3030000001</v>
      </c>
      <c r="P6" s="114">
        <f t="shared" ref="P6:P7" si="6">F6*$P$3*$P$4</f>
        <v>5340411</v>
      </c>
      <c r="Q6" s="107">
        <f t="shared" ref="Q6:Q7" si="7">P6*H6</f>
        <v>597591.99089999998</v>
      </c>
      <c r="R6" s="114">
        <f t="shared" ref="R6:R7" si="8">F6*$R$3*$R$4</f>
        <v>7120548</v>
      </c>
      <c r="S6" s="107">
        <f t="shared" ref="S6:S7" si="9">R6*H6</f>
        <v>796789.32120000001</v>
      </c>
      <c r="T6" s="114">
        <f t="shared" ref="T6:T7" si="10">F6*$T$3*$T$4</f>
        <v>8900685</v>
      </c>
      <c r="U6" s="107">
        <f t="shared" ref="U6:U7" si="11">T6*H6</f>
        <v>995986.65150000004</v>
      </c>
    </row>
    <row r="7" spans="1:21">
      <c r="A7" s="93">
        <v>26</v>
      </c>
      <c r="B7" s="93" t="s">
        <v>96</v>
      </c>
      <c r="C7" s="93">
        <v>69628</v>
      </c>
      <c r="D7" s="93">
        <v>49452</v>
      </c>
      <c r="E7" s="93">
        <v>2690</v>
      </c>
      <c r="F7" s="109">
        <v>131738.25</v>
      </c>
      <c r="G7" s="107">
        <v>1735475</v>
      </c>
      <c r="H7" s="108">
        <v>0.109</v>
      </c>
      <c r="I7" s="107">
        <f t="shared" si="0"/>
        <v>189166.77499999999</v>
      </c>
      <c r="J7" s="113">
        <v>110094</v>
      </c>
      <c r="K7" s="107">
        <f t="shared" si="1"/>
        <v>12000.245999999999</v>
      </c>
      <c r="L7" s="114">
        <f t="shared" si="2"/>
        <v>3161718</v>
      </c>
      <c r="M7" s="107">
        <f t="shared" si="3"/>
        <v>344627.26199999999</v>
      </c>
      <c r="N7" s="114">
        <f t="shared" si="4"/>
        <v>15808590</v>
      </c>
      <c r="O7" s="107">
        <f t="shared" si="5"/>
        <v>1723136.31</v>
      </c>
      <c r="P7" s="114">
        <f t="shared" si="6"/>
        <v>4742577</v>
      </c>
      <c r="Q7" s="107">
        <f t="shared" si="7"/>
        <v>516940.89299999998</v>
      </c>
      <c r="R7" s="114">
        <f t="shared" si="8"/>
        <v>6323436</v>
      </c>
      <c r="S7" s="107">
        <f t="shared" si="9"/>
        <v>689254.52399999998</v>
      </c>
      <c r="T7" s="114">
        <f t="shared" si="10"/>
        <v>7904295</v>
      </c>
      <c r="U7" s="107">
        <f t="shared" si="11"/>
        <v>861568.15500000003</v>
      </c>
    </row>
    <row r="8" spans="1:21">
      <c r="I8" s="96">
        <f>SUM(I5:I7)</f>
        <v>874542.52620000008</v>
      </c>
      <c r="M8" s="116">
        <f>SUM(M5:M7)</f>
        <v>1581013.8306</v>
      </c>
      <c r="O8" s="116">
        <f>SUM(O5:O7)</f>
        <v>7905069.1530000009</v>
      </c>
      <c r="Q8" s="116">
        <f>SUM(Q5:Q7)</f>
        <v>2371520.7459000004</v>
      </c>
      <c r="S8" s="116">
        <f>SUM(S5:S7)</f>
        <v>3162027.6612</v>
      </c>
      <c r="U8" s="116">
        <f>SUM(U5:U7)</f>
        <v>3952534.5765000004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7"/>
  <sheetViews>
    <sheetView workbookViewId="0">
      <selection activeCell="B2" sqref="B2:E6"/>
    </sheetView>
  </sheetViews>
  <sheetFormatPr defaultRowHeight="15"/>
  <cols>
    <col min="1" max="1" width="4" style="9" customWidth="1"/>
    <col min="2" max="5" width="24.42578125" style="9" customWidth="1"/>
    <col min="6" max="6" width="13" style="83" customWidth="1"/>
    <col min="7" max="7" width="15.5703125" style="83" customWidth="1"/>
    <col min="8" max="8" width="11.7109375" style="83" customWidth="1"/>
    <col min="9" max="9" width="11.85546875" style="57" customWidth="1"/>
    <col min="10" max="10" width="15.28515625" style="9" customWidth="1"/>
    <col min="11" max="11" width="12.5703125" style="118" customWidth="1"/>
    <col min="12" max="12" width="20.7109375" style="19" customWidth="1"/>
    <col min="13" max="21" width="20.7109375" style="11" customWidth="1"/>
    <col min="22" max="221" width="9.140625" style="9"/>
    <col min="222" max="222" width="4" style="9" customWidth="1"/>
    <col min="223" max="223" width="24.42578125" style="9" customWidth="1"/>
    <col min="224" max="224" width="19.85546875" style="9" customWidth="1"/>
    <col min="225" max="225" width="9.28515625" style="9" customWidth="1"/>
    <col min="226" max="226" width="10" style="9" customWidth="1"/>
    <col min="227" max="227" width="8.42578125" style="9" customWidth="1"/>
    <col min="228" max="228" width="12.28515625" style="9" customWidth="1"/>
    <col min="229" max="229" width="7.5703125" style="9" customWidth="1"/>
    <col min="230" max="230" width="7.85546875" style="9" customWidth="1"/>
    <col min="231" max="231" width="8.28515625" style="9" customWidth="1"/>
    <col min="232" max="232" width="9.140625" style="9"/>
    <col min="233" max="235" width="7.5703125" style="9" customWidth="1"/>
    <col min="236" max="236" width="10.28515625" style="9" customWidth="1"/>
    <col min="237" max="237" width="10.5703125" style="9" customWidth="1"/>
    <col min="238" max="238" width="11.140625" style="9" customWidth="1"/>
    <col min="239" max="239" width="10.42578125" style="9" customWidth="1"/>
    <col min="240" max="249" width="11" style="9" customWidth="1"/>
    <col min="250" max="250" width="9.140625" style="9" customWidth="1"/>
    <col min="251" max="251" width="6.85546875" style="9" customWidth="1"/>
    <col min="252" max="252" width="15" style="9" bestFit="1" customWidth="1"/>
    <col min="253" max="477" width="9.140625" style="9"/>
    <col min="478" max="478" width="4" style="9" customWidth="1"/>
    <col min="479" max="479" width="24.42578125" style="9" customWidth="1"/>
    <col min="480" max="480" width="19.85546875" style="9" customWidth="1"/>
    <col min="481" max="481" width="9.28515625" style="9" customWidth="1"/>
    <col min="482" max="482" width="10" style="9" customWidth="1"/>
    <col min="483" max="483" width="8.42578125" style="9" customWidth="1"/>
    <col min="484" max="484" width="12.28515625" style="9" customWidth="1"/>
    <col min="485" max="485" width="7.5703125" style="9" customWidth="1"/>
    <col min="486" max="486" width="7.85546875" style="9" customWidth="1"/>
    <col min="487" max="487" width="8.28515625" style="9" customWidth="1"/>
    <col min="488" max="488" width="9.140625" style="9"/>
    <col min="489" max="491" width="7.5703125" style="9" customWidth="1"/>
    <col min="492" max="492" width="10.28515625" style="9" customWidth="1"/>
    <col min="493" max="493" width="10.5703125" style="9" customWidth="1"/>
    <col min="494" max="494" width="11.140625" style="9" customWidth="1"/>
    <col min="495" max="495" width="10.42578125" style="9" customWidth="1"/>
    <col min="496" max="505" width="11" style="9" customWidth="1"/>
    <col min="506" max="506" width="9.140625" style="9" customWidth="1"/>
    <col min="507" max="507" width="6.85546875" style="9" customWidth="1"/>
    <col min="508" max="508" width="15" style="9" bestFit="1" customWidth="1"/>
    <col min="509" max="733" width="9.140625" style="9"/>
    <col min="734" max="734" width="4" style="9" customWidth="1"/>
    <col min="735" max="735" width="24.42578125" style="9" customWidth="1"/>
    <col min="736" max="736" width="19.85546875" style="9" customWidth="1"/>
    <col min="737" max="737" width="9.28515625" style="9" customWidth="1"/>
    <col min="738" max="738" width="10" style="9" customWidth="1"/>
    <col min="739" max="739" width="8.42578125" style="9" customWidth="1"/>
    <col min="740" max="740" width="12.28515625" style="9" customWidth="1"/>
    <col min="741" max="741" width="7.5703125" style="9" customWidth="1"/>
    <col min="742" max="742" width="7.85546875" style="9" customWidth="1"/>
    <col min="743" max="743" width="8.28515625" style="9" customWidth="1"/>
    <col min="744" max="744" width="9.140625" style="9"/>
    <col min="745" max="747" width="7.5703125" style="9" customWidth="1"/>
    <col min="748" max="748" width="10.28515625" style="9" customWidth="1"/>
    <col min="749" max="749" width="10.5703125" style="9" customWidth="1"/>
    <col min="750" max="750" width="11.140625" style="9" customWidth="1"/>
    <col min="751" max="751" width="10.42578125" style="9" customWidth="1"/>
    <col min="752" max="761" width="11" style="9" customWidth="1"/>
    <col min="762" max="762" width="9.140625" style="9" customWidth="1"/>
    <col min="763" max="763" width="6.85546875" style="9" customWidth="1"/>
    <col min="764" max="764" width="15" style="9" bestFit="1" customWidth="1"/>
    <col min="765" max="989" width="9.140625" style="9"/>
    <col min="990" max="990" width="4" style="9" customWidth="1"/>
    <col min="991" max="991" width="24.42578125" style="9" customWidth="1"/>
    <col min="992" max="992" width="19.85546875" style="9" customWidth="1"/>
    <col min="993" max="993" width="9.28515625" style="9" customWidth="1"/>
    <col min="994" max="994" width="10" style="9" customWidth="1"/>
    <col min="995" max="995" width="8.42578125" style="9" customWidth="1"/>
    <col min="996" max="996" width="12.28515625" style="9" customWidth="1"/>
    <col min="997" max="997" width="7.5703125" style="9" customWidth="1"/>
    <col min="998" max="998" width="7.85546875" style="9" customWidth="1"/>
    <col min="999" max="999" width="8.28515625" style="9" customWidth="1"/>
    <col min="1000" max="1000" width="9.140625" style="9"/>
    <col min="1001" max="1003" width="7.5703125" style="9" customWidth="1"/>
    <col min="1004" max="1004" width="10.28515625" style="9" customWidth="1"/>
    <col min="1005" max="1005" width="10.5703125" style="9" customWidth="1"/>
    <col min="1006" max="1006" width="11.140625" style="9" customWidth="1"/>
    <col min="1007" max="1007" width="10.42578125" style="9" customWidth="1"/>
    <col min="1008" max="1017" width="11" style="9" customWidth="1"/>
    <col min="1018" max="1018" width="9.140625" style="9" customWidth="1"/>
    <col min="1019" max="1019" width="6.85546875" style="9" customWidth="1"/>
    <col min="1020" max="1020" width="15" style="9" bestFit="1" customWidth="1"/>
    <col min="1021" max="1245" width="9.140625" style="9"/>
    <col min="1246" max="1246" width="4" style="9" customWidth="1"/>
    <col min="1247" max="1247" width="24.42578125" style="9" customWidth="1"/>
    <col min="1248" max="1248" width="19.85546875" style="9" customWidth="1"/>
    <col min="1249" max="1249" width="9.28515625" style="9" customWidth="1"/>
    <col min="1250" max="1250" width="10" style="9" customWidth="1"/>
    <col min="1251" max="1251" width="8.42578125" style="9" customWidth="1"/>
    <col min="1252" max="1252" width="12.28515625" style="9" customWidth="1"/>
    <col min="1253" max="1253" width="7.5703125" style="9" customWidth="1"/>
    <col min="1254" max="1254" width="7.85546875" style="9" customWidth="1"/>
    <col min="1255" max="1255" width="8.28515625" style="9" customWidth="1"/>
    <col min="1256" max="1256" width="9.140625" style="9"/>
    <col min="1257" max="1259" width="7.5703125" style="9" customWidth="1"/>
    <col min="1260" max="1260" width="10.28515625" style="9" customWidth="1"/>
    <col min="1261" max="1261" width="10.5703125" style="9" customWidth="1"/>
    <col min="1262" max="1262" width="11.140625" style="9" customWidth="1"/>
    <col min="1263" max="1263" width="10.42578125" style="9" customWidth="1"/>
    <col min="1264" max="1273" width="11" style="9" customWidth="1"/>
    <col min="1274" max="1274" width="9.140625" style="9" customWidth="1"/>
    <col min="1275" max="1275" width="6.85546875" style="9" customWidth="1"/>
    <col min="1276" max="1276" width="15" style="9" bestFit="1" customWidth="1"/>
    <col min="1277" max="1501" width="9.140625" style="9"/>
    <col min="1502" max="1502" width="4" style="9" customWidth="1"/>
    <col min="1503" max="1503" width="24.42578125" style="9" customWidth="1"/>
    <col min="1504" max="1504" width="19.85546875" style="9" customWidth="1"/>
    <col min="1505" max="1505" width="9.28515625" style="9" customWidth="1"/>
    <col min="1506" max="1506" width="10" style="9" customWidth="1"/>
    <col min="1507" max="1507" width="8.42578125" style="9" customWidth="1"/>
    <col min="1508" max="1508" width="12.28515625" style="9" customWidth="1"/>
    <col min="1509" max="1509" width="7.5703125" style="9" customWidth="1"/>
    <col min="1510" max="1510" width="7.85546875" style="9" customWidth="1"/>
    <col min="1511" max="1511" width="8.28515625" style="9" customWidth="1"/>
    <col min="1512" max="1512" width="9.140625" style="9"/>
    <col min="1513" max="1515" width="7.5703125" style="9" customWidth="1"/>
    <col min="1516" max="1516" width="10.28515625" style="9" customWidth="1"/>
    <col min="1517" max="1517" width="10.5703125" style="9" customWidth="1"/>
    <col min="1518" max="1518" width="11.140625" style="9" customWidth="1"/>
    <col min="1519" max="1519" width="10.42578125" style="9" customWidth="1"/>
    <col min="1520" max="1529" width="11" style="9" customWidth="1"/>
    <col min="1530" max="1530" width="9.140625" style="9" customWidth="1"/>
    <col min="1531" max="1531" width="6.85546875" style="9" customWidth="1"/>
    <col min="1532" max="1532" width="15" style="9" bestFit="1" customWidth="1"/>
    <col min="1533" max="1757" width="9.140625" style="9"/>
    <col min="1758" max="1758" width="4" style="9" customWidth="1"/>
    <col min="1759" max="1759" width="24.42578125" style="9" customWidth="1"/>
    <col min="1760" max="1760" width="19.85546875" style="9" customWidth="1"/>
    <col min="1761" max="1761" width="9.28515625" style="9" customWidth="1"/>
    <col min="1762" max="1762" width="10" style="9" customWidth="1"/>
    <col min="1763" max="1763" width="8.42578125" style="9" customWidth="1"/>
    <col min="1764" max="1764" width="12.28515625" style="9" customWidth="1"/>
    <col min="1765" max="1765" width="7.5703125" style="9" customWidth="1"/>
    <col min="1766" max="1766" width="7.85546875" style="9" customWidth="1"/>
    <col min="1767" max="1767" width="8.28515625" style="9" customWidth="1"/>
    <col min="1768" max="1768" width="9.140625" style="9"/>
    <col min="1769" max="1771" width="7.5703125" style="9" customWidth="1"/>
    <col min="1772" max="1772" width="10.28515625" style="9" customWidth="1"/>
    <col min="1773" max="1773" width="10.5703125" style="9" customWidth="1"/>
    <col min="1774" max="1774" width="11.140625" style="9" customWidth="1"/>
    <col min="1775" max="1775" width="10.42578125" style="9" customWidth="1"/>
    <col min="1776" max="1785" width="11" style="9" customWidth="1"/>
    <col min="1786" max="1786" width="9.140625" style="9" customWidth="1"/>
    <col min="1787" max="1787" width="6.85546875" style="9" customWidth="1"/>
    <col min="1788" max="1788" width="15" style="9" bestFit="1" customWidth="1"/>
    <col min="1789" max="2013" width="9.140625" style="9"/>
    <col min="2014" max="2014" width="4" style="9" customWidth="1"/>
    <col min="2015" max="2015" width="24.42578125" style="9" customWidth="1"/>
    <col min="2016" max="2016" width="19.85546875" style="9" customWidth="1"/>
    <col min="2017" max="2017" width="9.28515625" style="9" customWidth="1"/>
    <col min="2018" max="2018" width="10" style="9" customWidth="1"/>
    <col min="2019" max="2019" width="8.42578125" style="9" customWidth="1"/>
    <col min="2020" max="2020" width="12.28515625" style="9" customWidth="1"/>
    <col min="2021" max="2021" width="7.5703125" style="9" customWidth="1"/>
    <col min="2022" max="2022" width="7.85546875" style="9" customWidth="1"/>
    <col min="2023" max="2023" width="8.28515625" style="9" customWidth="1"/>
    <col min="2024" max="2024" width="9.140625" style="9"/>
    <col min="2025" max="2027" width="7.5703125" style="9" customWidth="1"/>
    <col min="2028" max="2028" width="10.28515625" style="9" customWidth="1"/>
    <col min="2029" max="2029" width="10.5703125" style="9" customWidth="1"/>
    <col min="2030" max="2030" width="11.140625" style="9" customWidth="1"/>
    <col min="2031" max="2031" width="10.42578125" style="9" customWidth="1"/>
    <col min="2032" max="2041" width="11" style="9" customWidth="1"/>
    <col min="2042" max="2042" width="9.140625" style="9" customWidth="1"/>
    <col min="2043" max="2043" width="6.85546875" style="9" customWidth="1"/>
    <col min="2044" max="2044" width="15" style="9" bestFit="1" customWidth="1"/>
    <col min="2045" max="2269" width="9.140625" style="9"/>
    <col min="2270" max="2270" width="4" style="9" customWidth="1"/>
    <col min="2271" max="2271" width="24.42578125" style="9" customWidth="1"/>
    <col min="2272" max="2272" width="19.85546875" style="9" customWidth="1"/>
    <col min="2273" max="2273" width="9.28515625" style="9" customWidth="1"/>
    <col min="2274" max="2274" width="10" style="9" customWidth="1"/>
    <col min="2275" max="2275" width="8.42578125" style="9" customWidth="1"/>
    <col min="2276" max="2276" width="12.28515625" style="9" customWidth="1"/>
    <col min="2277" max="2277" width="7.5703125" style="9" customWidth="1"/>
    <col min="2278" max="2278" width="7.85546875" style="9" customWidth="1"/>
    <col min="2279" max="2279" width="8.28515625" style="9" customWidth="1"/>
    <col min="2280" max="2280" width="9.140625" style="9"/>
    <col min="2281" max="2283" width="7.5703125" style="9" customWidth="1"/>
    <col min="2284" max="2284" width="10.28515625" style="9" customWidth="1"/>
    <col min="2285" max="2285" width="10.5703125" style="9" customWidth="1"/>
    <col min="2286" max="2286" width="11.140625" style="9" customWidth="1"/>
    <col min="2287" max="2287" width="10.42578125" style="9" customWidth="1"/>
    <col min="2288" max="2297" width="11" style="9" customWidth="1"/>
    <col min="2298" max="2298" width="9.140625" style="9" customWidth="1"/>
    <col min="2299" max="2299" width="6.85546875" style="9" customWidth="1"/>
    <col min="2300" max="2300" width="15" style="9" bestFit="1" customWidth="1"/>
    <col min="2301" max="2525" width="9.140625" style="9"/>
    <col min="2526" max="2526" width="4" style="9" customWidth="1"/>
    <col min="2527" max="2527" width="24.42578125" style="9" customWidth="1"/>
    <col min="2528" max="2528" width="19.85546875" style="9" customWidth="1"/>
    <col min="2529" max="2529" width="9.28515625" style="9" customWidth="1"/>
    <col min="2530" max="2530" width="10" style="9" customWidth="1"/>
    <col min="2531" max="2531" width="8.42578125" style="9" customWidth="1"/>
    <col min="2532" max="2532" width="12.28515625" style="9" customWidth="1"/>
    <col min="2533" max="2533" width="7.5703125" style="9" customWidth="1"/>
    <col min="2534" max="2534" width="7.85546875" style="9" customWidth="1"/>
    <col min="2535" max="2535" width="8.28515625" style="9" customWidth="1"/>
    <col min="2536" max="2536" width="9.140625" style="9"/>
    <col min="2537" max="2539" width="7.5703125" style="9" customWidth="1"/>
    <col min="2540" max="2540" width="10.28515625" style="9" customWidth="1"/>
    <col min="2541" max="2541" width="10.5703125" style="9" customWidth="1"/>
    <col min="2542" max="2542" width="11.140625" style="9" customWidth="1"/>
    <col min="2543" max="2543" width="10.42578125" style="9" customWidth="1"/>
    <col min="2544" max="2553" width="11" style="9" customWidth="1"/>
    <col min="2554" max="2554" width="9.140625" style="9" customWidth="1"/>
    <col min="2555" max="2555" width="6.85546875" style="9" customWidth="1"/>
    <col min="2556" max="2556" width="15" style="9" bestFit="1" customWidth="1"/>
    <col min="2557" max="2781" width="9.140625" style="9"/>
    <col min="2782" max="2782" width="4" style="9" customWidth="1"/>
    <col min="2783" max="2783" width="24.42578125" style="9" customWidth="1"/>
    <col min="2784" max="2784" width="19.85546875" style="9" customWidth="1"/>
    <col min="2785" max="2785" width="9.28515625" style="9" customWidth="1"/>
    <col min="2786" max="2786" width="10" style="9" customWidth="1"/>
    <col min="2787" max="2787" width="8.42578125" style="9" customWidth="1"/>
    <col min="2788" max="2788" width="12.28515625" style="9" customWidth="1"/>
    <col min="2789" max="2789" width="7.5703125" style="9" customWidth="1"/>
    <col min="2790" max="2790" width="7.85546875" style="9" customWidth="1"/>
    <col min="2791" max="2791" width="8.28515625" style="9" customWidth="1"/>
    <col min="2792" max="2792" width="9.140625" style="9"/>
    <col min="2793" max="2795" width="7.5703125" style="9" customWidth="1"/>
    <col min="2796" max="2796" width="10.28515625" style="9" customWidth="1"/>
    <col min="2797" max="2797" width="10.5703125" style="9" customWidth="1"/>
    <col min="2798" max="2798" width="11.140625" style="9" customWidth="1"/>
    <col min="2799" max="2799" width="10.42578125" style="9" customWidth="1"/>
    <col min="2800" max="2809" width="11" style="9" customWidth="1"/>
    <col min="2810" max="2810" width="9.140625" style="9" customWidth="1"/>
    <col min="2811" max="2811" width="6.85546875" style="9" customWidth="1"/>
    <col min="2812" max="2812" width="15" style="9" bestFit="1" customWidth="1"/>
    <col min="2813" max="3037" width="9.140625" style="9"/>
    <col min="3038" max="3038" width="4" style="9" customWidth="1"/>
    <col min="3039" max="3039" width="24.42578125" style="9" customWidth="1"/>
    <col min="3040" max="3040" width="19.85546875" style="9" customWidth="1"/>
    <col min="3041" max="3041" width="9.28515625" style="9" customWidth="1"/>
    <col min="3042" max="3042" width="10" style="9" customWidth="1"/>
    <col min="3043" max="3043" width="8.42578125" style="9" customWidth="1"/>
    <col min="3044" max="3044" width="12.28515625" style="9" customWidth="1"/>
    <col min="3045" max="3045" width="7.5703125" style="9" customWidth="1"/>
    <col min="3046" max="3046" width="7.85546875" style="9" customWidth="1"/>
    <col min="3047" max="3047" width="8.28515625" style="9" customWidth="1"/>
    <col min="3048" max="3048" width="9.140625" style="9"/>
    <col min="3049" max="3051" width="7.5703125" style="9" customWidth="1"/>
    <col min="3052" max="3052" width="10.28515625" style="9" customWidth="1"/>
    <col min="3053" max="3053" width="10.5703125" style="9" customWidth="1"/>
    <col min="3054" max="3054" width="11.140625" style="9" customWidth="1"/>
    <col min="3055" max="3055" width="10.42578125" style="9" customWidth="1"/>
    <col min="3056" max="3065" width="11" style="9" customWidth="1"/>
    <col min="3066" max="3066" width="9.140625" style="9" customWidth="1"/>
    <col min="3067" max="3067" width="6.85546875" style="9" customWidth="1"/>
    <col min="3068" max="3068" width="15" style="9" bestFit="1" customWidth="1"/>
    <col min="3069" max="3293" width="9.140625" style="9"/>
    <col min="3294" max="3294" width="4" style="9" customWidth="1"/>
    <col min="3295" max="3295" width="24.42578125" style="9" customWidth="1"/>
    <col min="3296" max="3296" width="19.85546875" style="9" customWidth="1"/>
    <col min="3297" max="3297" width="9.28515625" style="9" customWidth="1"/>
    <col min="3298" max="3298" width="10" style="9" customWidth="1"/>
    <col min="3299" max="3299" width="8.42578125" style="9" customWidth="1"/>
    <col min="3300" max="3300" width="12.28515625" style="9" customWidth="1"/>
    <col min="3301" max="3301" width="7.5703125" style="9" customWidth="1"/>
    <col min="3302" max="3302" width="7.85546875" style="9" customWidth="1"/>
    <col min="3303" max="3303" width="8.28515625" style="9" customWidth="1"/>
    <col min="3304" max="3304" width="9.140625" style="9"/>
    <col min="3305" max="3307" width="7.5703125" style="9" customWidth="1"/>
    <col min="3308" max="3308" width="10.28515625" style="9" customWidth="1"/>
    <col min="3309" max="3309" width="10.5703125" style="9" customWidth="1"/>
    <col min="3310" max="3310" width="11.140625" style="9" customWidth="1"/>
    <col min="3311" max="3311" width="10.42578125" style="9" customWidth="1"/>
    <col min="3312" max="3321" width="11" style="9" customWidth="1"/>
    <col min="3322" max="3322" width="9.140625" style="9" customWidth="1"/>
    <col min="3323" max="3323" width="6.85546875" style="9" customWidth="1"/>
    <col min="3324" max="3324" width="15" style="9" bestFit="1" customWidth="1"/>
    <col min="3325" max="3549" width="9.140625" style="9"/>
    <col min="3550" max="3550" width="4" style="9" customWidth="1"/>
    <col min="3551" max="3551" width="24.42578125" style="9" customWidth="1"/>
    <col min="3552" max="3552" width="19.85546875" style="9" customWidth="1"/>
    <col min="3553" max="3553" width="9.28515625" style="9" customWidth="1"/>
    <col min="3554" max="3554" width="10" style="9" customWidth="1"/>
    <col min="3555" max="3555" width="8.42578125" style="9" customWidth="1"/>
    <col min="3556" max="3556" width="12.28515625" style="9" customWidth="1"/>
    <col min="3557" max="3557" width="7.5703125" style="9" customWidth="1"/>
    <col min="3558" max="3558" width="7.85546875" style="9" customWidth="1"/>
    <col min="3559" max="3559" width="8.28515625" style="9" customWidth="1"/>
    <col min="3560" max="3560" width="9.140625" style="9"/>
    <col min="3561" max="3563" width="7.5703125" style="9" customWidth="1"/>
    <col min="3564" max="3564" width="10.28515625" style="9" customWidth="1"/>
    <col min="3565" max="3565" width="10.5703125" style="9" customWidth="1"/>
    <col min="3566" max="3566" width="11.140625" style="9" customWidth="1"/>
    <col min="3567" max="3567" width="10.42578125" style="9" customWidth="1"/>
    <col min="3568" max="3577" width="11" style="9" customWidth="1"/>
    <col min="3578" max="3578" width="9.140625" style="9" customWidth="1"/>
    <col min="3579" max="3579" width="6.85546875" style="9" customWidth="1"/>
    <col min="3580" max="3580" width="15" style="9" bestFit="1" customWidth="1"/>
    <col min="3581" max="3805" width="9.140625" style="9"/>
    <col min="3806" max="3806" width="4" style="9" customWidth="1"/>
    <col min="3807" max="3807" width="24.42578125" style="9" customWidth="1"/>
    <col min="3808" max="3808" width="19.85546875" style="9" customWidth="1"/>
    <col min="3809" max="3809" width="9.28515625" style="9" customWidth="1"/>
    <col min="3810" max="3810" width="10" style="9" customWidth="1"/>
    <col min="3811" max="3811" width="8.42578125" style="9" customWidth="1"/>
    <col min="3812" max="3812" width="12.28515625" style="9" customWidth="1"/>
    <col min="3813" max="3813" width="7.5703125" style="9" customWidth="1"/>
    <col min="3814" max="3814" width="7.85546875" style="9" customWidth="1"/>
    <col min="3815" max="3815" width="8.28515625" style="9" customWidth="1"/>
    <col min="3816" max="3816" width="9.140625" style="9"/>
    <col min="3817" max="3819" width="7.5703125" style="9" customWidth="1"/>
    <col min="3820" max="3820" width="10.28515625" style="9" customWidth="1"/>
    <col min="3821" max="3821" width="10.5703125" style="9" customWidth="1"/>
    <col min="3822" max="3822" width="11.140625" style="9" customWidth="1"/>
    <col min="3823" max="3823" width="10.42578125" style="9" customWidth="1"/>
    <col min="3824" max="3833" width="11" style="9" customWidth="1"/>
    <col min="3834" max="3834" width="9.140625" style="9" customWidth="1"/>
    <col min="3835" max="3835" width="6.85546875" style="9" customWidth="1"/>
    <col min="3836" max="3836" width="15" style="9" bestFit="1" customWidth="1"/>
    <col min="3837" max="4061" width="9.140625" style="9"/>
    <col min="4062" max="4062" width="4" style="9" customWidth="1"/>
    <col min="4063" max="4063" width="24.42578125" style="9" customWidth="1"/>
    <col min="4064" max="4064" width="19.85546875" style="9" customWidth="1"/>
    <col min="4065" max="4065" width="9.28515625" style="9" customWidth="1"/>
    <col min="4066" max="4066" width="10" style="9" customWidth="1"/>
    <col min="4067" max="4067" width="8.42578125" style="9" customWidth="1"/>
    <col min="4068" max="4068" width="12.28515625" style="9" customWidth="1"/>
    <col min="4069" max="4069" width="7.5703125" style="9" customWidth="1"/>
    <col min="4070" max="4070" width="7.85546875" style="9" customWidth="1"/>
    <col min="4071" max="4071" width="8.28515625" style="9" customWidth="1"/>
    <col min="4072" max="4072" width="9.140625" style="9"/>
    <col min="4073" max="4075" width="7.5703125" style="9" customWidth="1"/>
    <col min="4076" max="4076" width="10.28515625" style="9" customWidth="1"/>
    <col min="4077" max="4077" width="10.5703125" style="9" customWidth="1"/>
    <col min="4078" max="4078" width="11.140625" style="9" customWidth="1"/>
    <col min="4079" max="4079" width="10.42578125" style="9" customWidth="1"/>
    <col min="4080" max="4089" width="11" style="9" customWidth="1"/>
    <col min="4090" max="4090" width="9.140625" style="9" customWidth="1"/>
    <col min="4091" max="4091" width="6.85546875" style="9" customWidth="1"/>
    <col min="4092" max="4092" width="15" style="9" bestFit="1" customWidth="1"/>
    <col min="4093" max="4317" width="9.140625" style="9"/>
    <col min="4318" max="4318" width="4" style="9" customWidth="1"/>
    <col min="4319" max="4319" width="24.42578125" style="9" customWidth="1"/>
    <col min="4320" max="4320" width="19.85546875" style="9" customWidth="1"/>
    <col min="4321" max="4321" width="9.28515625" style="9" customWidth="1"/>
    <col min="4322" max="4322" width="10" style="9" customWidth="1"/>
    <col min="4323" max="4323" width="8.42578125" style="9" customWidth="1"/>
    <col min="4324" max="4324" width="12.28515625" style="9" customWidth="1"/>
    <col min="4325" max="4325" width="7.5703125" style="9" customWidth="1"/>
    <col min="4326" max="4326" width="7.85546875" style="9" customWidth="1"/>
    <col min="4327" max="4327" width="8.28515625" style="9" customWidth="1"/>
    <col min="4328" max="4328" width="9.140625" style="9"/>
    <col min="4329" max="4331" width="7.5703125" style="9" customWidth="1"/>
    <col min="4332" max="4332" width="10.28515625" style="9" customWidth="1"/>
    <col min="4333" max="4333" width="10.5703125" style="9" customWidth="1"/>
    <col min="4334" max="4334" width="11.140625" style="9" customWidth="1"/>
    <col min="4335" max="4335" width="10.42578125" style="9" customWidth="1"/>
    <col min="4336" max="4345" width="11" style="9" customWidth="1"/>
    <col min="4346" max="4346" width="9.140625" style="9" customWidth="1"/>
    <col min="4347" max="4347" width="6.85546875" style="9" customWidth="1"/>
    <col min="4348" max="4348" width="15" style="9" bestFit="1" customWidth="1"/>
    <col min="4349" max="4573" width="9.140625" style="9"/>
    <col min="4574" max="4574" width="4" style="9" customWidth="1"/>
    <col min="4575" max="4575" width="24.42578125" style="9" customWidth="1"/>
    <col min="4576" max="4576" width="19.85546875" style="9" customWidth="1"/>
    <col min="4577" max="4577" width="9.28515625" style="9" customWidth="1"/>
    <col min="4578" max="4578" width="10" style="9" customWidth="1"/>
    <col min="4579" max="4579" width="8.42578125" style="9" customWidth="1"/>
    <col min="4580" max="4580" width="12.28515625" style="9" customWidth="1"/>
    <col min="4581" max="4581" width="7.5703125" style="9" customWidth="1"/>
    <col min="4582" max="4582" width="7.85546875" style="9" customWidth="1"/>
    <col min="4583" max="4583" width="8.28515625" style="9" customWidth="1"/>
    <col min="4584" max="4584" width="9.140625" style="9"/>
    <col min="4585" max="4587" width="7.5703125" style="9" customWidth="1"/>
    <col min="4588" max="4588" width="10.28515625" style="9" customWidth="1"/>
    <col min="4589" max="4589" width="10.5703125" style="9" customWidth="1"/>
    <col min="4590" max="4590" width="11.140625" style="9" customWidth="1"/>
    <col min="4591" max="4591" width="10.42578125" style="9" customWidth="1"/>
    <col min="4592" max="4601" width="11" style="9" customWidth="1"/>
    <col min="4602" max="4602" width="9.140625" style="9" customWidth="1"/>
    <col min="4603" max="4603" width="6.85546875" style="9" customWidth="1"/>
    <col min="4604" max="4604" width="15" style="9" bestFit="1" customWidth="1"/>
    <col min="4605" max="4829" width="9.140625" style="9"/>
    <col min="4830" max="4830" width="4" style="9" customWidth="1"/>
    <col min="4831" max="4831" width="24.42578125" style="9" customWidth="1"/>
    <col min="4832" max="4832" width="19.85546875" style="9" customWidth="1"/>
    <col min="4833" max="4833" width="9.28515625" style="9" customWidth="1"/>
    <col min="4834" max="4834" width="10" style="9" customWidth="1"/>
    <col min="4835" max="4835" width="8.42578125" style="9" customWidth="1"/>
    <col min="4836" max="4836" width="12.28515625" style="9" customWidth="1"/>
    <col min="4837" max="4837" width="7.5703125" style="9" customWidth="1"/>
    <col min="4838" max="4838" width="7.85546875" style="9" customWidth="1"/>
    <col min="4839" max="4839" width="8.28515625" style="9" customWidth="1"/>
    <col min="4840" max="4840" width="9.140625" style="9"/>
    <col min="4841" max="4843" width="7.5703125" style="9" customWidth="1"/>
    <col min="4844" max="4844" width="10.28515625" style="9" customWidth="1"/>
    <col min="4845" max="4845" width="10.5703125" style="9" customWidth="1"/>
    <col min="4846" max="4846" width="11.140625" style="9" customWidth="1"/>
    <col min="4847" max="4847" width="10.42578125" style="9" customWidth="1"/>
    <col min="4848" max="4857" width="11" style="9" customWidth="1"/>
    <col min="4858" max="4858" width="9.140625" style="9" customWidth="1"/>
    <col min="4859" max="4859" width="6.85546875" style="9" customWidth="1"/>
    <col min="4860" max="4860" width="15" style="9" bestFit="1" customWidth="1"/>
    <col min="4861" max="5085" width="9.140625" style="9"/>
    <col min="5086" max="5086" width="4" style="9" customWidth="1"/>
    <col min="5087" max="5087" width="24.42578125" style="9" customWidth="1"/>
    <col min="5088" max="5088" width="19.85546875" style="9" customWidth="1"/>
    <col min="5089" max="5089" width="9.28515625" style="9" customWidth="1"/>
    <col min="5090" max="5090" width="10" style="9" customWidth="1"/>
    <col min="5091" max="5091" width="8.42578125" style="9" customWidth="1"/>
    <col min="5092" max="5092" width="12.28515625" style="9" customWidth="1"/>
    <col min="5093" max="5093" width="7.5703125" style="9" customWidth="1"/>
    <col min="5094" max="5094" width="7.85546875" style="9" customWidth="1"/>
    <col min="5095" max="5095" width="8.28515625" style="9" customWidth="1"/>
    <col min="5096" max="5096" width="9.140625" style="9"/>
    <col min="5097" max="5099" width="7.5703125" style="9" customWidth="1"/>
    <col min="5100" max="5100" width="10.28515625" style="9" customWidth="1"/>
    <col min="5101" max="5101" width="10.5703125" style="9" customWidth="1"/>
    <col min="5102" max="5102" width="11.140625" style="9" customWidth="1"/>
    <col min="5103" max="5103" width="10.42578125" style="9" customWidth="1"/>
    <col min="5104" max="5113" width="11" style="9" customWidth="1"/>
    <col min="5114" max="5114" width="9.140625" style="9" customWidth="1"/>
    <col min="5115" max="5115" width="6.85546875" style="9" customWidth="1"/>
    <col min="5116" max="5116" width="15" style="9" bestFit="1" customWidth="1"/>
    <col min="5117" max="5341" width="9.140625" style="9"/>
    <col min="5342" max="5342" width="4" style="9" customWidth="1"/>
    <col min="5343" max="5343" width="24.42578125" style="9" customWidth="1"/>
    <col min="5344" max="5344" width="19.85546875" style="9" customWidth="1"/>
    <col min="5345" max="5345" width="9.28515625" style="9" customWidth="1"/>
    <col min="5346" max="5346" width="10" style="9" customWidth="1"/>
    <col min="5347" max="5347" width="8.42578125" style="9" customWidth="1"/>
    <col min="5348" max="5348" width="12.28515625" style="9" customWidth="1"/>
    <col min="5349" max="5349" width="7.5703125" style="9" customWidth="1"/>
    <col min="5350" max="5350" width="7.85546875" style="9" customWidth="1"/>
    <col min="5351" max="5351" width="8.28515625" style="9" customWidth="1"/>
    <col min="5352" max="5352" width="9.140625" style="9"/>
    <col min="5353" max="5355" width="7.5703125" style="9" customWidth="1"/>
    <col min="5356" max="5356" width="10.28515625" style="9" customWidth="1"/>
    <col min="5357" max="5357" width="10.5703125" style="9" customWidth="1"/>
    <col min="5358" max="5358" width="11.140625" style="9" customWidth="1"/>
    <col min="5359" max="5359" width="10.42578125" style="9" customWidth="1"/>
    <col min="5360" max="5369" width="11" style="9" customWidth="1"/>
    <col min="5370" max="5370" width="9.140625" style="9" customWidth="1"/>
    <col min="5371" max="5371" width="6.85546875" style="9" customWidth="1"/>
    <col min="5372" max="5372" width="15" style="9" bestFit="1" customWidth="1"/>
    <col min="5373" max="5597" width="9.140625" style="9"/>
    <col min="5598" max="5598" width="4" style="9" customWidth="1"/>
    <col min="5599" max="5599" width="24.42578125" style="9" customWidth="1"/>
    <col min="5600" max="5600" width="19.85546875" style="9" customWidth="1"/>
    <col min="5601" max="5601" width="9.28515625" style="9" customWidth="1"/>
    <col min="5602" max="5602" width="10" style="9" customWidth="1"/>
    <col min="5603" max="5603" width="8.42578125" style="9" customWidth="1"/>
    <col min="5604" max="5604" width="12.28515625" style="9" customWidth="1"/>
    <col min="5605" max="5605" width="7.5703125" style="9" customWidth="1"/>
    <col min="5606" max="5606" width="7.85546875" style="9" customWidth="1"/>
    <col min="5607" max="5607" width="8.28515625" style="9" customWidth="1"/>
    <col min="5608" max="5608" width="9.140625" style="9"/>
    <col min="5609" max="5611" width="7.5703125" style="9" customWidth="1"/>
    <col min="5612" max="5612" width="10.28515625" style="9" customWidth="1"/>
    <col min="5613" max="5613" width="10.5703125" style="9" customWidth="1"/>
    <col min="5614" max="5614" width="11.140625" style="9" customWidth="1"/>
    <col min="5615" max="5615" width="10.42578125" style="9" customWidth="1"/>
    <col min="5616" max="5625" width="11" style="9" customWidth="1"/>
    <col min="5626" max="5626" width="9.140625" style="9" customWidth="1"/>
    <col min="5627" max="5627" width="6.85546875" style="9" customWidth="1"/>
    <col min="5628" max="5628" width="15" style="9" bestFit="1" customWidth="1"/>
    <col min="5629" max="5853" width="9.140625" style="9"/>
    <col min="5854" max="5854" width="4" style="9" customWidth="1"/>
    <col min="5855" max="5855" width="24.42578125" style="9" customWidth="1"/>
    <col min="5856" max="5856" width="19.85546875" style="9" customWidth="1"/>
    <col min="5857" max="5857" width="9.28515625" style="9" customWidth="1"/>
    <col min="5858" max="5858" width="10" style="9" customWidth="1"/>
    <col min="5859" max="5859" width="8.42578125" style="9" customWidth="1"/>
    <col min="5860" max="5860" width="12.28515625" style="9" customWidth="1"/>
    <col min="5861" max="5861" width="7.5703125" style="9" customWidth="1"/>
    <col min="5862" max="5862" width="7.85546875" style="9" customWidth="1"/>
    <col min="5863" max="5863" width="8.28515625" style="9" customWidth="1"/>
    <col min="5864" max="5864" width="9.140625" style="9"/>
    <col min="5865" max="5867" width="7.5703125" style="9" customWidth="1"/>
    <col min="5868" max="5868" width="10.28515625" style="9" customWidth="1"/>
    <col min="5869" max="5869" width="10.5703125" style="9" customWidth="1"/>
    <col min="5870" max="5870" width="11.140625" style="9" customWidth="1"/>
    <col min="5871" max="5871" width="10.42578125" style="9" customWidth="1"/>
    <col min="5872" max="5881" width="11" style="9" customWidth="1"/>
    <col min="5882" max="5882" width="9.140625" style="9" customWidth="1"/>
    <col min="5883" max="5883" width="6.85546875" style="9" customWidth="1"/>
    <col min="5884" max="5884" width="15" style="9" bestFit="1" customWidth="1"/>
    <col min="5885" max="6109" width="9.140625" style="9"/>
    <col min="6110" max="6110" width="4" style="9" customWidth="1"/>
    <col min="6111" max="6111" width="24.42578125" style="9" customWidth="1"/>
    <col min="6112" max="6112" width="19.85546875" style="9" customWidth="1"/>
    <col min="6113" max="6113" width="9.28515625" style="9" customWidth="1"/>
    <col min="6114" max="6114" width="10" style="9" customWidth="1"/>
    <col min="6115" max="6115" width="8.42578125" style="9" customWidth="1"/>
    <col min="6116" max="6116" width="12.28515625" style="9" customWidth="1"/>
    <col min="6117" max="6117" width="7.5703125" style="9" customWidth="1"/>
    <col min="6118" max="6118" width="7.85546875" style="9" customWidth="1"/>
    <col min="6119" max="6119" width="8.28515625" style="9" customWidth="1"/>
    <col min="6120" max="6120" width="9.140625" style="9"/>
    <col min="6121" max="6123" width="7.5703125" style="9" customWidth="1"/>
    <col min="6124" max="6124" width="10.28515625" style="9" customWidth="1"/>
    <col min="6125" max="6125" width="10.5703125" style="9" customWidth="1"/>
    <col min="6126" max="6126" width="11.140625" style="9" customWidth="1"/>
    <col min="6127" max="6127" width="10.42578125" style="9" customWidth="1"/>
    <col min="6128" max="6137" width="11" style="9" customWidth="1"/>
    <col min="6138" max="6138" width="9.140625" style="9" customWidth="1"/>
    <col min="6139" max="6139" width="6.85546875" style="9" customWidth="1"/>
    <col min="6140" max="6140" width="15" style="9" bestFit="1" customWidth="1"/>
    <col min="6141" max="6365" width="9.140625" style="9"/>
    <col min="6366" max="6366" width="4" style="9" customWidth="1"/>
    <col min="6367" max="6367" width="24.42578125" style="9" customWidth="1"/>
    <col min="6368" max="6368" width="19.85546875" style="9" customWidth="1"/>
    <col min="6369" max="6369" width="9.28515625" style="9" customWidth="1"/>
    <col min="6370" max="6370" width="10" style="9" customWidth="1"/>
    <col min="6371" max="6371" width="8.42578125" style="9" customWidth="1"/>
    <col min="6372" max="6372" width="12.28515625" style="9" customWidth="1"/>
    <col min="6373" max="6373" width="7.5703125" style="9" customWidth="1"/>
    <col min="6374" max="6374" width="7.85546875" style="9" customWidth="1"/>
    <col min="6375" max="6375" width="8.28515625" style="9" customWidth="1"/>
    <col min="6376" max="6376" width="9.140625" style="9"/>
    <col min="6377" max="6379" width="7.5703125" style="9" customWidth="1"/>
    <col min="6380" max="6380" width="10.28515625" style="9" customWidth="1"/>
    <col min="6381" max="6381" width="10.5703125" style="9" customWidth="1"/>
    <col min="6382" max="6382" width="11.140625" style="9" customWidth="1"/>
    <col min="6383" max="6383" width="10.42578125" style="9" customWidth="1"/>
    <col min="6384" max="6393" width="11" style="9" customWidth="1"/>
    <col min="6394" max="6394" width="9.140625" style="9" customWidth="1"/>
    <col min="6395" max="6395" width="6.85546875" style="9" customWidth="1"/>
    <col min="6396" max="6396" width="15" style="9" bestFit="1" customWidth="1"/>
    <col min="6397" max="6621" width="9.140625" style="9"/>
    <col min="6622" max="6622" width="4" style="9" customWidth="1"/>
    <col min="6623" max="6623" width="24.42578125" style="9" customWidth="1"/>
    <col min="6624" max="6624" width="19.85546875" style="9" customWidth="1"/>
    <col min="6625" max="6625" width="9.28515625" style="9" customWidth="1"/>
    <col min="6626" max="6626" width="10" style="9" customWidth="1"/>
    <col min="6627" max="6627" width="8.42578125" style="9" customWidth="1"/>
    <col min="6628" max="6628" width="12.28515625" style="9" customWidth="1"/>
    <col min="6629" max="6629" width="7.5703125" style="9" customWidth="1"/>
    <col min="6630" max="6630" width="7.85546875" style="9" customWidth="1"/>
    <col min="6631" max="6631" width="8.28515625" style="9" customWidth="1"/>
    <col min="6632" max="6632" width="9.140625" style="9"/>
    <col min="6633" max="6635" width="7.5703125" style="9" customWidth="1"/>
    <col min="6636" max="6636" width="10.28515625" style="9" customWidth="1"/>
    <col min="6637" max="6637" width="10.5703125" style="9" customWidth="1"/>
    <col min="6638" max="6638" width="11.140625" style="9" customWidth="1"/>
    <col min="6639" max="6639" width="10.42578125" style="9" customWidth="1"/>
    <col min="6640" max="6649" width="11" style="9" customWidth="1"/>
    <col min="6650" max="6650" width="9.140625" style="9" customWidth="1"/>
    <col min="6651" max="6651" width="6.85546875" style="9" customWidth="1"/>
    <col min="6652" max="6652" width="15" style="9" bestFit="1" customWidth="1"/>
    <col min="6653" max="6877" width="9.140625" style="9"/>
    <col min="6878" max="6878" width="4" style="9" customWidth="1"/>
    <col min="6879" max="6879" width="24.42578125" style="9" customWidth="1"/>
    <col min="6880" max="6880" width="19.85546875" style="9" customWidth="1"/>
    <col min="6881" max="6881" width="9.28515625" style="9" customWidth="1"/>
    <col min="6882" max="6882" width="10" style="9" customWidth="1"/>
    <col min="6883" max="6883" width="8.42578125" style="9" customWidth="1"/>
    <col min="6884" max="6884" width="12.28515625" style="9" customWidth="1"/>
    <col min="6885" max="6885" width="7.5703125" style="9" customWidth="1"/>
    <col min="6886" max="6886" width="7.85546875" style="9" customWidth="1"/>
    <col min="6887" max="6887" width="8.28515625" style="9" customWidth="1"/>
    <col min="6888" max="6888" width="9.140625" style="9"/>
    <col min="6889" max="6891" width="7.5703125" style="9" customWidth="1"/>
    <col min="6892" max="6892" width="10.28515625" style="9" customWidth="1"/>
    <col min="6893" max="6893" width="10.5703125" style="9" customWidth="1"/>
    <col min="6894" max="6894" width="11.140625" style="9" customWidth="1"/>
    <col min="6895" max="6895" width="10.42578125" style="9" customWidth="1"/>
    <col min="6896" max="6905" width="11" style="9" customWidth="1"/>
    <col min="6906" max="6906" width="9.140625" style="9" customWidth="1"/>
    <col min="6907" max="6907" width="6.85546875" style="9" customWidth="1"/>
    <col min="6908" max="6908" width="15" style="9" bestFit="1" customWidth="1"/>
    <col min="6909" max="7133" width="9.140625" style="9"/>
    <col min="7134" max="7134" width="4" style="9" customWidth="1"/>
    <col min="7135" max="7135" width="24.42578125" style="9" customWidth="1"/>
    <col min="7136" max="7136" width="19.85546875" style="9" customWidth="1"/>
    <col min="7137" max="7137" width="9.28515625" style="9" customWidth="1"/>
    <col min="7138" max="7138" width="10" style="9" customWidth="1"/>
    <col min="7139" max="7139" width="8.42578125" style="9" customWidth="1"/>
    <col min="7140" max="7140" width="12.28515625" style="9" customWidth="1"/>
    <col min="7141" max="7141" width="7.5703125" style="9" customWidth="1"/>
    <col min="7142" max="7142" width="7.85546875" style="9" customWidth="1"/>
    <col min="7143" max="7143" width="8.28515625" style="9" customWidth="1"/>
    <col min="7144" max="7144" width="9.140625" style="9"/>
    <col min="7145" max="7147" width="7.5703125" style="9" customWidth="1"/>
    <col min="7148" max="7148" width="10.28515625" style="9" customWidth="1"/>
    <col min="7149" max="7149" width="10.5703125" style="9" customWidth="1"/>
    <col min="7150" max="7150" width="11.140625" style="9" customWidth="1"/>
    <col min="7151" max="7151" width="10.42578125" style="9" customWidth="1"/>
    <col min="7152" max="7161" width="11" style="9" customWidth="1"/>
    <col min="7162" max="7162" width="9.140625" style="9" customWidth="1"/>
    <col min="7163" max="7163" width="6.85546875" style="9" customWidth="1"/>
    <col min="7164" max="7164" width="15" style="9" bestFit="1" customWidth="1"/>
    <col min="7165" max="7389" width="9.140625" style="9"/>
    <col min="7390" max="7390" width="4" style="9" customWidth="1"/>
    <col min="7391" max="7391" width="24.42578125" style="9" customWidth="1"/>
    <col min="7392" max="7392" width="19.85546875" style="9" customWidth="1"/>
    <col min="7393" max="7393" width="9.28515625" style="9" customWidth="1"/>
    <col min="7394" max="7394" width="10" style="9" customWidth="1"/>
    <col min="7395" max="7395" width="8.42578125" style="9" customWidth="1"/>
    <col min="7396" max="7396" width="12.28515625" style="9" customWidth="1"/>
    <col min="7397" max="7397" width="7.5703125" style="9" customWidth="1"/>
    <col min="7398" max="7398" width="7.85546875" style="9" customWidth="1"/>
    <col min="7399" max="7399" width="8.28515625" style="9" customWidth="1"/>
    <col min="7400" max="7400" width="9.140625" style="9"/>
    <col min="7401" max="7403" width="7.5703125" style="9" customWidth="1"/>
    <col min="7404" max="7404" width="10.28515625" style="9" customWidth="1"/>
    <col min="7405" max="7405" width="10.5703125" style="9" customWidth="1"/>
    <col min="7406" max="7406" width="11.140625" style="9" customWidth="1"/>
    <col min="7407" max="7407" width="10.42578125" style="9" customWidth="1"/>
    <col min="7408" max="7417" width="11" style="9" customWidth="1"/>
    <col min="7418" max="7418" width="9.140625" style="9" customWidth="1"/>
    <col min="7419" max="7419" width="6.85546875" style="9" customWidth="1"/>
    <col min="7420" max="7420" width="15" style="9" bestFit="1" customWidth="1"/>
    <col min="7421" max="7645" width="9.140625" style="9"/>
    <col min="7646" max="7646" width="4" style="9" customWidth="1"/>
    <col min="7647" max="7647" width="24.42578125" style="9" customWidth="1"/>
    <col min="7648" max="7648" width="19.85546875" style="9" customWidth="1"/>
    <col min="7649" max="7649" width="9.28515625" style="9" customWidth="1"/>
    <col min="7650" max="7650" width="10" style="9" customWidth="1"/>
    <col min="7651" max="7651" width="8.42578125" style="9" customWidth="1"/>
    <col min="7652" max="7652" width="12.28515625" style="9" customWidth="1"/>
    <col min="7653" max="7653" width="7.5703125" style="9" customWidth="1"/>
    <col min="7654" max="7654" width="7.85546875" style="9" customWidth="1"/>
    <col min="7655" max="7655" width="8.28515625" style="9" customWidth="1"/>
    <col min="7656" max="7656" width="9.140625" style="9"/>
    <col min="7657" max="7659" width="7.5703125" style="9" customWidth="1"/>
    <col min="7660" max="7660" width="10.28515625" style="9" customWidth="1"/>
    <col min="7661" max="7661" width="10.5703125" style="9" customWidth="1"/>
    <col min="7662" max="7662" width="11.140625" style="9" customWidth="1"/>
    <col min="7663" max="7663" width="10.42578125" style="9" customWidth="1"/>
    <col min="7664" max="7673" width="11" style="9" customWidth="1"/>
    <col min="7674" max="7674" width="9.140625" style="9" customWidth="1"/>
    <col min="7675" max="7675" width="6.85546875" style="9" customWidth="1"/>
    <col min="7676" max="7676" width="15" style="9" bestFit="1" customWidth="1"/>
    <col min="7677" max="7901" width="9.140625" style="9"/>
    <col min="7902" max="7902" width="4" style="9" customWidth="1"/>
    <col min="7903" max="7903" width="24.42578125" style="9" customWidth="1"/>
    <col min="7904" max="7904" width="19.85546875" style="9" customWidth="1"/>
    <col min="7905" max="7905" width="9.28515625" style="9" customWidth="1"/>
    <col min="7906" max="7906" width="10" style="9" customWidth="1"/>
    <col min="7907" max="7907" width="8.42578125" style="9" customWidth="1"/>
    <col min="7908" max="7908" width="12.28515625" style="9" customWidth="1"/>
    <col min="7909" max="7909" width="7.5703125" style="9" customWidth="1"/>
    <col min="7910" max="7910" width="7.85546875" style="9" customWidth="1"/>
    <col min="7911" max="7911" width="8.28515625" style="9" customWidth="1"/>
    <col min="7912" max="7912" width="9.140625" style="9"/>
    <col min="7913" max="7915" width="7.5703125" style="9" customWidth="1"/>
    <col min="7916" max="7916" width="10.28515625" style="9" customWidth="1"/>
    <col min="7917" max="7917" width="10.5703125" style="9" customWidth="1"/>
    <col min="7918" max="7918" width="11.140625" style="9" customWidth="1"/>
    <col min="7919" max="7919" width="10.42578125" style="9" customWidth="1"/>
    <col min="7920" max="7929" width="11" style="9" customWidth="1"/>
    <col min="7930" max="7930" width="9.140625" style="9" customWidth="1"/>
    <col min="7931" max="7931" width="6.85546875" style="9" customWidth="1"/>
    <col min="7932" max="7932" width="15" style="9" bestFit="1" customWidth="1"/>
    <col min="7933" max="8157" width="9.140625" style="9"/>
    <col min="8158" max="8158" width="4" style="9" customWidth="1"/>
    <col min="8159" max="8159" width="24.42578125" style="9" customWidth="1"/>
    <col min="8160" max="8160" width="19.85546875" style="9" customWidth="1"/>
    <col min="8161" max="8161" width="9.28515625" style="9" customWidth="1"/>
    <col min="8162" max="8162" width="10" style="9" customWidth="1"/>
    <col min="8163" max="8163" width="8.42578125" style="9" customWidth="1"/>
    <col min="8164" max="8164" width="12.28515625" style="9" customWidth="1"/>
    <col min="8165" max="8165" width="7.5703125" style="9" customWidth="1"/>
    <col min="8166" max="8166" width="7.85546875" style="9" customWidth="1"/>
    <col min="8167" max="8167" width="8.28515625" style="9" customWidth="1"/>
    <col min="8168" max="8168" width="9.140625" style="9"/>
    <col min="8169" max="8171" width="7.5703125" style="9" customWidth="1"/>
    <col min="8172" max="8172" width="10.28515625" style="9" customWidth="1"/>
    <col min="8173" max="8173" width="10.5703125" style="9" customWidth="1"/>
    <col min="8174" max="8174" width="11.140625" style="9" customWidth="1"/>
    <col min="8175" max="8175" width="10.42578125" style="9" customWidth="1"/>
    <col min="8176" max="8185" width="11" style="9" customWidth="1"/>
    <col min="8186" max="8186" width="9.140625" style="9" customWidth="1"/>
    <col min="8187" max="8187" width="6.85546875" style="9" customWidth="1"/>
    <col min="8188" max="8188" width="15" style="9" bestFit="1" customWidth="1"/>
    <col min="8189" max="8413" width="9.140625" style="9"/>
    <col min="8414" max="8414" width="4" style="9" customWidth="1"/>
    <col min="8415" max="8415" width="24.42578125" style="9" customWidth="1"/>
    <col min="8416" max="8416" width="19.85546875" style="9" customWidth="1"/>
    <col min="8417" max="8417" width="9.28515625" style="9" customWidth="1"/>
    <col min="8418" max="8418" width="10" style="9" customWidth="1"/>
    <col min="8419" max="8419" width="8.42578125" style="9" customWidth="1"/>
    <col min="8420" max="8420" width="12.28515625" style="9" customWidth="1"/>
    <col min="8421" max="8421" width="7.5703125" style="9" customWidth="1"/>
    <col min="8422" max="8422" width="7.85546875" style="9" customWidth="1"/>
    <col min="8423" max="8423" width="8.28515625" style="9" customWidth="1"/>
    <col min="8424" max="8424" width="9.140625" style="9"/>
    <col min="8425" max="8427" width="7.5703125" style="9" customWidth="1"/>
    <col min="8428" max="8428" width="10.28515625" style="9" customWidth="1"/>
    <col min="8429" max="8429" width="10.5703125" style="9" customWidth="1"/>
    <col min="8430" max="8430" width="11.140625" style="9" customWidth="1"/>
    <col min="8431" max="8431" width="10.42578125" style="9" customWidth="1"/>
    <col min="8432" max="8441" width="11" style="9" customWidth="1"/>
    <col min="8442" max="8442" width="9.140625" style="9" customWidth="1"/>
    <col min="8443" max="8443" width="6.85546875" style="9" customWidth="1"/>
    <col min="8444" max="8444" width="15" style="9" bestFit="1" customWidth="1"/>
    <col min="8445" max="8669" width="9.140625" style="9"/>
    <col min="8670" max="8670" width="4" style="9" customWidth="1"/>
    <col min="8671" max="8671" width="24.42578125" style="9" customWidth="1"/>
    <col min="8672" max="8672" width="19.85546875" style="9" customWidth="1"/>
    <col min="8673" max="8673" width="9.28515625" style="9" customWidth="1"/>
    <col min="8674" max="8674" width="10" style="9" customWidth="1"/>
    <col min="8675" max="8675" width="8.42578125" style="9" customWidth="1"/>
    <col min="8676" max="8676" width="12.28515625" style="9" customWidth="1"/>
    <col min="8677" max="8677" width="7.5703125" style="9" customWidth="1"/>
    <col min="8678" max="8678" width="7.85546875" style="9" customWidth="1"/>
    <col min="8679" max="8679" width="8.28515625" style="9" customWidth="1"/>
    <col min="8680" max="8680" width="9.140625" style="9"/>
    <col min="8681" max="8683" width="7.5703125" style="9" customWidth="1"/>
    <col min="8684" max="8684" width="10.28515625" style="9" customWidth="1"/>
    <col min="8685" max="8685" width="10.5703125" style="9" customWidth="1"/>
    <col min="8686" max="8686" width="11.140625" style="9" customWidth="1"/>
    <col min="8687" max="8687" width="10.42578125" style="9" customWidth="1"/>
    <col min="8688" max="8697" width="11" style="9" customWidth="1"/>
    <col min="8698" max="8698" width="9.140625" style="9" customWidth="1"/>
    <col min="8699" max="8699" width="6.85546875" style="9" customWidth="1"/>
    <col min="8700" max="8700" width="15" style="9" bestFit="1" customWidth="1"/>
    <col min="8701" max="8925" width="9.140625" style="9"/>
    <col min="8926" max="8926" width="4" style="9" customWidth="1"/>
    <col min="8927" max="8927" width="24.42578125" style="9" customWidth="1"/>
    <col min="8928" max="8928" width="19.85546875" style="9" customWidth="1"/>
    <col min="8929" max="8929" width="9.28515625" style="9" customWidth="1"/>
    <col min="8930" max="8930" width="10" style="9" customWidth="1"/>
    <col min="8931" max="8931" width="8.42578125" style="9" customWidth="1"/>
    <col min="8932" max="8932" width="12.28515625" style="9" customWidth="1"/>
    <col min="8933" max="8933" width="7.5703125" style="9" customWidth="1"/>
    <col min="8934" max="8934" width="7.85546875" style="9" customWidth="1"/>
    <col min="8935" max="8935" width="8.28515625" style="9" customWidth="1"/>
    <col min="8936" max="8936" width="9.140625" style="9"/>
    <col min="8937" max="8939" width="7.5703125" style="9" customWidth="1"/>
    <col min="8940" max="8940" width="10.28515625" style="9" customWidth="1"/>
    <col min="8941" max="8941" width="10.5703125" style="9" customWidth="1"/>
    <col min="8942" max="8942" width="11.140625" style="9" customWidth="1"/>
    <col min="8943" max="8943" width="10.42578125" style="9" customWidth="1"/>
    <col min="8944" max="8953" width="11" style="9" customWidth="1"/>
    <col min="8954" max="8954" width="9.140625" style="9" customWidth="1"/>
    <col min="8955" max="8955" width="6.85546875" style="9" customWidth="1"/>
    <col min="8956" max="8956" width="15" style="9" bestFit="1" customWidth="1"/>
    <col min="8957" max="9181" width="9.140625" style="9"/>
    <col min="9182" max="9182" width="4" style="9" customWidth="1"/>
    <col min="9183" max="9183" width="24.42578125" style="9" customWidth="1"/>
    <col min="9184" max="9184" width="19.85546875" style="9" customWidth="1"/>
    <col min="9185" max="9185" width="9.28515625" style="9" customWidth="1"/>
    <col min="9186" max="9186" width="10" style="9" customWidth="1"/>
    <col min="9187" max="9187" width="8.42578125" style="9" customWidth="1"/>
    <col min="9188" max="9188" width="12.28515625" style="9" customWidth="1"/>
    <col min="9189" max="9189" width="7.5703125" style="9" customWidth="1"/>
    <col min="9190" max="9190" width="7.85546875" style="9" customWidth="1"/>
    <col min="9191" max="9191" width="8.28515625" style="9" customWidth="1"/>
    <col min="9192" max="9192" width="9.140625" style="9"/>
    <col min="9193" max="9195" width="7.5703125" style="9" customWidth="1"/>
    <col min="9196" max="9196" width="10.28515625" style="9" customWidth="1"/>
    <col min="9197" max="9197" width="10.5703125" style="9" customWidth="1"/>
    <col min="9198" max="9198" width="11.140625" style="9" customWidth="1"/>
    <col min="9199" max="9199" width="10.42578125" style="9" customWidth="1"/>
    <col min="9200" max="9209" width="11" style="9" customWidth="1"/>
    <col min="9210" max="9210" width="9.140625" style="9" customWidth="1"/>
    <col min="9211" max="9211" width="6.85546875" style="9" customWidth="1"/>
    <col min="9212" max="9212" width="15" style="9" bestFit="1" customWidth="1"/>
    <col min="9213" max="9437" width="9.140625" style="9"/>
    <col min="9438" max="9438" width="4" style="9" customWidth="1"/>
    <col min="9439" max="9439" width="24.42578125" style="9" customWidth="1"/>
    <col min="9440" max="9440" width="19.85546875" style="9" customWidth="1"/>
    <col min="9441" max="9441" width="9.28515625" style="9" customWidth="1"/>
    <col min="9442" max="9442" width="10" style="9" customWidth="1"/>
    <col min="9443" max="9443" width="8.42578125" style="9" customWidth="1"/>
    <col min="9444" max="9444" width="12.28515625" style="9" customWidth="1"/>
    <col min="9445" max="9445" width="7.5703125" style="9" customWidth="1"/>
    <col min="9446" max="9446" width="7.85546875" style="9" customWidth="1"/>
    <col min="9447" max="9447" width="8.28515625" style="9" customWidth="1"/>
    <col min="9448" max="9448" width="9.140625" style="9"/>
    <col min="9449" max="9451" width="7.5703125" style="9" customWidth="1"/>
    <col min="9452" max="9452" width="10.28515625" style="9" customWidth="1"/>
    <col min="9453" max="9453" width="10.5703125" style="9" customWidth="1"/>
    <col min="9454" max="9454" width="11.140625" style="9" customWidth="1"/>
    <col min="9455" max="9455" width="10.42578125" style="9" customWidth="1"/>
    <col min="9456" max="9465" width="11" style="9" customWidth="1"/>
    <col min="9466" max="9466" width="9.140625" style="9" customWidth="1"/>
    <col min="9467" max="9467" width="6.85546875" style="9" customWidth="1"/>
    <col min="9468" max="9468" width="15" style="9" bestFit="1" customWidth="1"/>
    <col min="9469" max="9693" width="9.140625" style="9"/>
    <col min="9694" max="9694" width="4" style="9" customWidth="1"/>
    <col min="9695" max="9695" width="24.42578125" style="9" customWidth="1"/>
    <col min="9696" max="9696" width="19.85546875" style="9" customWidth="1"/>
    <col min="9697" max="9697" width="9.28515625" style="9" customWidth="1"/>
    <col min="9698" max="9698" width="10" style="9" customWidth="1"/>
    <col min="9699" max="9699" width="8.42578125" style="9" customWidth="1"/>
    <col min="9700" max="9700" width="12.28515625" style="9" customWidth="1"/>
    <col min="9701" max="9701" width="7.5703125" style="9" customWidth="1"/>
    <col min="9702" max="9702" width="7.85546875" style="9" customWidth="1"/>
    <col min="9703" max="9703" width="8.28515625" style="9" customWidth="1"/>
    <col min="9704" max="9704" width="9.140625" style="9"/>
    <col min="9705" max="9707" width="7.5703125" style="9" customWidth="1"/>
    <col min="9708" max="9708" width="10.28515625" style="9" customWidth="1"/>
    <col min="9709" max="9709" width="10.5703125" style="9" customWidth="1"/>
    <col min="9710" max="9710" width="11.140625" style="9" customWidth="1"/>
    <col min="9711" max="9711" width="10.42578125" style="9" customWidth="1"/>
    <col min="9712" max="9721" width="11" style="9" customWidth="1"/>
    <col min="9722" max="9722" width="9.140625" style="9" customWidth="1"/>
    <col min="9723" max="9723" width="6.85546875" style="9" customWidth="1"/>
    <col min="9724" max="9724" width="15" style="9" bestFit="1" customWidth="1"/>
    <col min="9725" max="9949" width="9.140625" style="9"/>
    <col min="9950" max="9950" width="4" style="9" customWidth="1"/>
    <col min="9951" max="9951" width="24.42578125" style="9" customWidth="1"/>
    <col min="9952" max="9952" width="19.85546875" style="9" customWidth="1"/>
    <col min="9953" max="9953" width="9.28515625" style="9" customWidth="1"/>
    <col min="9954" max="9954" width="10" style="9" customWidth="1"/>
    <col min="9955" max="9955" width="8.42578125" style="9" customWidth="1"/>
    <col min="9956" max="9956" width="12.28515625" style="9" customWidth="1"/>
    <col min="9957" max="9957" width="7.5703125" style="9" customWidth="1"/>
    <col min="9958" max="9958" width="7.85546875" style="9" customWidth="1"/>
    <col min="9959" max="9959" width="8.28515625" style="9" customWidth="1"/>
    <col min="9960" max="9960" width="9.140625" style="9"/>
    <col min="9961" max="9963" width="7.5703125" style="9" customWidth="1"/>
    <col min="9964" max="9964" width="10.28515625" style="9" customWidth="1"/>
    <col min="9965" max="9965" width="10.5703125" style="9" customWidth="1"/>
    <col min="9966" max="9966" width="11.140625" style="9" customWidth="1"/>
    <col min="9967" max="9967" width="10.42578125" style="9" customWidth="1"/>
    <col min="9968" max="9977" width="11" style="9" customWidth="1"/>
    <col min="9978" max="9978" width="9.140625" style="9" customWidth="1"/>
    <col min="9979" max="9979" width="6.85546875" style="9" customWidth="1"/>
    <col min="9980" max="9980" width="15" style="9" bestFit="1" customWidth="1"/>
    <col min="9981" max="10205" width="9.140625" style="9"/>
    <col min="10206" max="10206" width="4" style="9" customWidth="1"/>
    <col min="10207" max="10207" width="24.42578125" style="9" customWidth="1"/>
    <col min="10208" max="10208" width="19.85546875" style="9" customWidth="1"/>
    <col min="10209" max="10209" width="9.28515625" style="9" customWidth="1"/>
    <col min="10210" max="10210" width="10" style="9" customWidth="1"/>
    <col min="10211" max="10211" width="8.42578125" style="9" customWidth="1"/>
    <col min="10212" max="10212" width="12.28515625" style="9" customWidth="1"/>
    <col min="10213" max="10213" width="7.5703125" style="9" customWidth="1"/>
    <col min="10214" max="10214" width="7.85546875" style="9" customWidth="1"/>
    <col min="10215" max="10215" width="8.28515625" style="9" customWidth="1"/>
    <col min="10216" max="10216" width="9.140625" style="9"/>
    <col min="10217" max="10219" width="7.5703125" style="9" customWidth="1"/>
    <col min="10220" max="10220" width="10.28515625" style="9" customWidth="1"/>
    <col min="10221" max="10221" width="10.5703125" style="9" customWidth="1"/>
    <col min="10222" max="10222" width="11.140625" style="9" customWidth="1"/>
    <col min="10223" max="10223" width="10.42578125" style="9" customWidth="1"/>
    <col min="10224" max="10233" width="11" style="9" customWidth="1"/>
    <col min="10234" max="10234" width="9.140625" style="9" customWidth="1"/>
    <col min="10235" max="10235" width="6.85546875" style="9" customWidth="1"/>
    <col min="10236" max="10236" width="15" style="9" bestFit="1" customWidth="1"/>
    <col min="10237" max="10461" width="9.140625" style="9"/>
    <col min="10462" max="10462" width="4" style="9" customWidth="1"/>
    <col min="10463" max="10463" width="24.42578125" style="9" customWidth="1"/>
    <col min="10464" max="10464" width="19.85546875" style="9" customWidth="1"/>
    <col min="10465" max="10465" width="9.28515625" style="9" customWidth="1"/>
    <col min="10466" max="10466" width="10" style="9" customWidth="1"/>
    <col min="10467" max="10467" width="8.42578125" style="9" customWidth="1"/>
    <col min="10468" max="10468" width="12.28515625" style="9" customWidth="1"/>
    <col min="10469" max="10469" width="7.5703125" style="9" customWidth="1"/>
    <col min="10470" max="10470" width="7.85546875" style="9" customWidth="1"/>
    <col min="10471" max="10471" width="8.28515625" style="9" customWidth="1"/>
    <col min="10472" max="10472" width="9.140625" style="9"/>
    <col min="10473" max="10475" width="7.5703125" style="9" customWidth="1"/>
    <col min="10476" max="10476" width="10.28515625" style="9" customWidth="1"/>
    <col min="10477" max="10477" width="10.5703125" style="9" customWidth="1"/>
    <col min="10478" max="10478" width="11.140625" style="9" customWidth="1"/>
    <col min="10479" max="10479" width="10.42578125" style="9" customWidth="1"/>
    <col min="10480" max="10489" width="11" style="9" customWidth="1"/>
    <col min="10490" max="10490" width="9.140625" style="9" customWidth="1"/>
    <col min="10491" max="10491" width="6.85546875" style="9" customWidth="1"/>
    <col min="10492" max="10492" width="15" style="9" bestFit="1" customWidth="1"/>
    <col min="10493" max="10717" width="9.140625" style="9"/>
    <col min="10718" max="10718" width="4" style="9" customWidth="1"/>
    <col min="10719" max="10719" width="24.42578125" style="9" customWidth="1"/>
    <col min="10720" max="10720" width="19.85546875" style="9" customWidth="1"/>
    <col min="10721" max="10721" width="9.28515625" style="9" customWidth="1"/>
    <col min="10722" max="10722" width="10" style="9" customWidth="1"/>
    <col min="10723" max="10723" width="8.42578125" style="9" customWidth="1"/>
    <col min="10724" max="10724" width="12.28515625" style="9" customWidth="1"/>
    <col min="10725" max="10725" width="7.5703125" style="9" customWidth="1"/>
    <col min="10726" max="10726" width="7.85546875" style="9" customWidth="1"/>
    <col min="10727" max="10727" width="8.28515625" style="9" customWidth="1"/>
    <col min="10728" max="10728" width="9.140625" style="9"/>
    <col min="10729" max="10731" width="7.5703125" style="9" customWidth="1"/>
    <col min="10732" max="10732" width="10.28515625" style="9" customWidth="1"/>
    <col min="10733" max="10733" width="10.5703125" style="9" customWidth="1"/>
    <col min="10734" max="10734" width="11.140625" style="9" customWidth="1"/>
    <col min="10735" max="10735" width="10.42578125" style="9" customWidth="1"/>
    <col min="10736" max="10745" width="11" style="9" customWidth="1"/>
    <col min="10746" max="10746" width="9.140625" style="9" customWidth="1"/>
    <col min="10747" max="10747" width="6.85546875" style="9" customWidth="1"/>
    <col min="10748" max="10748" width="15" style="9" bestFit="1" customWidth="1"/>
    <col min="10749" max="10973" width="9.140625" style="9"/>
    <col min="10974" max="10974" width="4" style="9" customWidth="1"/>
    <col min="10975" max="10975" width="24.42578125" style="9" customWidth="1"/>
    <col min="10976" max="10976" width="19.85546875" style="9" customWidth="1"/>
    <col min="10977" max="10977" width="9.28515625" style="9" customWidth="1"/>
    <col min="10978" max="10978" width="10" style="9" customWidth="1"/>
    <col min="10979" max="10979" width="8.42578125" style="9" customWidth="1"/>
    <col min="10980" max="10980" width="12.28515625" style="9" customWidth="1"/>
    <col min="10981" max="10981" width="7.5703125" style="9" customWidth="1"/>
    <col min="10982" max="10982" width="7.85546875" style="9" customWidth="1"/>
    <col min="10983" max="10983" width="8.28515625" style="9" customWidth="1"/>
    <col min="10984" max="10984" width="9.140625" style="9"/>
    <col min="10985" max="10987" width="7.5703125" style="9" customWidth="1"/>
    <col min="10988" max="10988" width="10.28515625" style="9" customWidth="1"/>
    <col min="10989" max="10989" width="10.5703125" style="9" customWidth="1"/>
    <col min="10990" max="10990" width="11.140625" style="9" customWidth="1"/>
    <col min="10991" max="10991" width="10.42578125" style="9" customWidth="1"/>
    <col min="10992" max="11001" width="11" style="9" customWidth="1"/>
    <col min="11002" max="11002" width="9.140625" style="9" customWidth="1"/>
    <col min="11003" max="11003" width="6.85546875" style="9" customWidth="1"/>
    <col min="11004" max="11004" width="15" style="9" bestFit="1" customWidth="1"/>
    <col min="11005" max="11229" width="9.140625" style="9"/>
    <col min="11230" max="11230" width="4" style="9" customWidth="1"/>
    <col min="11231" max="11231" width="24.42578125" style="9" customWidth="1"/>
    <col min="11232" max="11232" width="19.85546875" style="9" customWidth="1"/>
    <col min="11233" max="11233" width="9.28515625" style="9" customWidth="1"/>
    <col min="11234" max="11234" width="10" style="9" customWidth="1"/>
    <col min="11235" max="11235" width="8.42578125" style="9" customWidth="1"/>
    <col min="11236" max="11236" width="12.28515625" style="9" customWidth="1"/>
    <col min="11237" max="11237" width="7.5703125" style="9" customWidth="1"/>
    <col min="11238" max="11238" width="7.85546875" style="9" customWidth="1"/>
    <col min="11239" max="11239" width="8.28515625" style="9" customWidth="1"/>
    <col min="11240" max="11240" width="9.140625" style="9"/>
    <col min="11241" max="11243" width="7.5703125" style="9" customWidth="1"/>
    <col min="11244" max="11244" width="10.28515625" style="9" customWidth="1"/>
    <col min="11245" max="11245" width="10.5703125" style="9" customWidth="1"/>
    <col min="11246" max="11246" width="11.140625" style="9" customWidth="1"/>
    <col min="11247" max="11247" width="10.42578125" style="9" customWidth="1"/>
    <col min="11248" max="11257" width="11" style="9" customWidth="1"/>
    <col min="11258" max="11258" width="9.140625" style="9" customWidth="1"/>
    <col min="11259" max="11259" width="6.85546875" style="9" customWidth="1"/>
    <col min="11260" max="11260" width="15" style="9" bestFit="1" customWidth="1"/>
    <col min="11261" max="11485" width="9.140625" style="9"/>
    <col min="11486" max="11486" width="4" style="9" customWidth="1"/>
    <col min="11487" max="11487" width="24.42578125" style="9" customWidth="1"/>
    <col min="11488" max="11488" width="19.85546875" style="9" customWidth="1"/>
    <col min="11489" max="11489" width="9.28515625" style="9" customWidth="1"/>
    <col min="11490" max="11490" width="10" style="9" customWidth="1"/>
    <col min="11491" max="11491" width="8.42578125" style="9" customWidth="1"/>
    <col min="11492" max="11492" width="12.28515625" style="9" customWidth="1"/>
    <col min="11493" max="11493" width="7.5703125" style="9" customWidth="1"/>
    <col min="11494" max="11494" width="7.85546875" style="9" customWidth="1"/>
    <col min="11495" max="11495" width="8.28515625" style="9" customWidth="1"/>
    <col min="11496" max="11496" width="9.140625" style="9"/>
    <col min="11497" max="11499" width="7.5703125" style="9" customWidth="1"/>
    <col min="11500" max="11500" width="10.28515625" style="9" customWidth="1"/>
    <col min="11501" max="11501" width="10.5703125" style="9" customWidth="1"/>
    <col min="11502" max="11502" width="11.140625" style="9" customWidth="1"/>
    <col min="11503" max="11503" width="10.42578125" style="9" customWidth="1"/>
    <col min="11504" max="11513" width="11" style="9" customWidth="1"/>
    <col min="11514" max="11514" width="9.140625" style="9" customWidth="1"/>
    <col min="11515" max="11515" width="6.85546875" style="9" customWidth="1"/>
    <col min="11516" max="11516" width="15" style="9" bestFit="1" customWidth="1"/>
    <col min="11517" max="11741" width="9.140625" style="9"/>
    <col min="11742" max="11742" width="4" style="9" customWidth="1"/>
    <col min="11743" max="11743" width="24.42578125" style="9" customWidth="1"/>
    <col min="11744" max="11744" width="19.85546875" style="9" customWidth="1"/>
    <col min="11745" max="11745" width="9.28515625" style="9" customWidth="1"/>
    <col min="11746" max="11746" width="10" style="9" customWidth="1"/>
    <col min="11747" max="11747" width="8.42578125" style="9" customWidth="1"/>
    <col min="11748" max="11748" width="12.28515625" style="9" customWidth="1"/>
    <col min="11749" max="11749" width="7.5703125" style="9" customWidth="1"/>
    <col min="11750" max="11750" width="7.85546875" style="9" customWidth="1"/>
    <col min="11751" max="11751" width="8.28515625" style="9" customWidth="1"/>
    <col min="11752" max="11752" width="9.140625" style="9"/>
    <col min="11753" max="11755" width="7.5703125" style="9" customWidth="1"/>
    <col min="11756" max="11756" width="10.28515625" style="9" customWidth="1"/>
    <col min="11757" max="11757" width="10.5703125" style="9" customWidth="1"/>
    <col min="11758" max="11758" width="11.140625" style="9" customWidth="1"/>
    <col min="11759" max="11759" width="10.42578125" style="9" customWidth="1"/>
    <col min="11760" max="11769" width="11" style="9" customWidth="1"/>
    <col min="11770" max="11770" width="9.140625" style="9" customWidth="1"/>
    <col min="11771" max="11771" width="6.85546875" style="9" customWidth="1"/>
    <col min="11772" max="11772" width="15" style="9" bestFit="1" customWidth="1"/>
    <col min="11773" max="11997" width="9.140625" style="9"/>
    <col min="11998" max="11998" width="4" style="9" customWidth="1"/>
    <col min="11999" max="11999" width="24.42578125" style="9" customWidth="1"/>
    <col min="12000" max="12000" width="19.85546875" style="9" customWidth="1"/>
    <col min="12001" max="12001" width="9.28515625" style="9" customWidth="1"/>
    <col min="12002" max="12002" width="10" style="9" customWidth="1"/>
    <col min="12003" max="12003" width="8.42578125" style="9" customWidth="1"/>
    <col min="12004" max="12004" width="12.28515625" style="9" customWidth="1"/>
    <col min="12005" max="12005" width="7.5703125" style="9" customWidth="1"/>
    <col min="12006" max="12006" width="7.85546875" style="9" customWidth="1"/>
    <col min="12007" max="12007" width="8.28515625" style="9" customWidth="1"/>
    <col min="12008" max="12008" width="9.140625" style="9"/>
    <col min="12009" max="12011" width="7.5703125" style="9" customWidth="1"/>
    <col min="12012" max="12012" width="10.28515625" style="9" customWidth="1"/>
    <col min="12013" max="12013" width="10.5703125" style="9" customWidth="1"/>
    <col min="12014" max="12014" width="11.140625" style="9" customWidth="1"/>
    <col min="12015" max="12015" width="10.42578125" style="9" customWidth="1"/>
    <col min="12016" max="12025" width="11" style="9" customWidth="1"/>
    <col min="12026" max="12026" width="9.140625" style="9" customWidth="1"/>
    <col min="12027" max="12027" width="6.85546875" style="9" customWidth="1"/>
    <col min="12028" max="12028" width="15" style="9" bestFit="1" customWidth="1"/>
    <col min="12029" max="12253" width="9.140625" style="9"/>
    <col min="12254" max="12254" width="4" style="9" customWidth="1"/>
    <col min="12255" max="12255" width="24.42578125" style="9" customWidth="1"/>
    <col min="12256" max="12256" width="19.85546875" style="9" customWidth="1"/>
    <col min="12257" max="12257" width="9.28515625" style="9" customWidth="1"/>
    <col min="12258" max="12258" width="10" style="9" customWidth="1"/>
    <col min="12259" max="12259" width="8.42578125" style="9" customWidth="1"/>
    <col min="12260" max="12260" width="12.28515625" style="9" customWidth="1"/>
    <col min="12261" max="12261" width="7.5703125" style="9" customWidth="1"/>
    <col min="12262" max="12262" width="7.85546875" style="9" customWidth="1"/>
    <col min="12263" max="12263" width="8.28515625" style="9" customWidth="1"/>
    <col min="12264" max="12264" width="9.140625" style="9"/>
    <col min="12265" max="12267" width="7.5703125" style="9" customWidth="1"/>
    <col min="12268" max="12268" width="10.28515625" style="9" customWidth="1"/>
    <col min="12269" max="12269" width="10.5703125" style="9" customWidth="1"/>
    <col min="12270" max="12270" width="11.140625" style="9" customWidth="1"/>
    <col min="12271" max="12271" width="10.42578125" style="9" customWidth="1"/>
    <col min="12272" max="12281" width="11" style="9" customWidth="1"/>
    <col min="12282" max="12282" width="9.140625" style="9" customWidth="1"/>
    <col min="12283" max="12283" width="6.85546875" style="9" customWidth="1"/>
    <col min="12284" max="12284" width="15" style="9" bestFit="1" customWidth="1"/>
    <col min="12285" max="12509" width="9.140625" style="9"/>
    <col min="12510" max="12510" width="4" style="9" customWidth="1"/>
    <col min="12511" max="12511" width="24.42578125" style="9" customWidth="1"/>
    <col min="12512" max="12512" width="19.85546875" style="9" customWidth="1"/>
    <col min="12513" max="12513" width="9.28515625" style="9" customWidth="1"/>
    <col min="12514" max="12514" width="10" style="9" customWidth="1"/>
    <col min="12515" max="12515" width="8.42578125" style="9" customWidth="1"/>
    <col min="12516" max="12516" width="12.28515625" style="9" customWidth="1"/>
    <col min="12517" max="12517" width="7.5703125" style="9" customWidth="1"/>
    <col min="12518" max="12518" width="7.85546875" style="9" customWidth="1"/>
    <col min="12519" max="12519" width="8.28515625" style="9" customWidth="1"/>
    <col min="12520" max="12520" width="9.140625" style="9"/>
    <col min="12521" max="12523" width="7.5703125" style="9" customWidth="1"/>
    <col min="12524" max="12524" width="10.28515625" style="9" customWidth="1"/>
    <col min="12525" max="12525" width="10.5703125" style="9" customWidth="1"/>
    <col min="12526" max="12526" width="11.140625" style="9" customWidth="1"/>
    <col min="12527" max="12527" width="10.42578125" style="9" customWidth="1"/>
    <col min="12528" max="12537" width="11" style="9" customWidth="1"/>
    <col min="12538" max="12538" width="9.140625" style="9" customWidth="1"/>
    <col min="12539" max="12539" width="6.85546875" style="9" customWidth="1"/>
    <col min="12540" max="12540" width="15" style="9" bestFit="1" customWidth="1"/>
    <col min="12541" max="12765" width="9.140625" style="9"/>
    <col min="12766" max="12766" width="4" style="9" customWidth="1"/>
    <col min="12767" max="12767" width="24.42578125" style="9" customWidth="1"/>
    <col min="12768" max="12768" width="19.85546875" style="9" customWidth="1"/>
    <col min="12769" max="12769" width="9.28515625" style="9" customWidth="1"/>
    <col min="12770" max="12770" width="10" style="9" customWidth="1"/>
    <col min="12771" max="12771" width="8.42578125" style="9" customWidth="1"/>
    <col min="12772" max="12772" width="12.28515625" style="9" customWidth="1"/>
    <col min="12773" max="12773" width="7.5703125" style="9" customWidth="1"/>
    <col min="12774" max="12774" width="7.85546875" style="9" customWidth="1"/>
    <col min="12775" max="12775" width="8.28515625" style="9" customWidth="1"/>
    <col min="12776" max="12776" width="9.140625" style="9"/>
    <col min="12777" max="12779" width="7.5703125" style="9" customWidth="1"/>
    <col min="12780" max="12780" width="10.28515625" style="9" customWidth="1"/>
    <col min="12781" max="12781" width="10.5703125" style="9" customWidth="1"/>
    <col min="12782" max="12782" width="11.140625" style="9" customWidth="1"/>
    <col min="12783" max="12783" width="10.42578125" style="9" customWidth="1"/>
    <col min="12784" max="12793" width="11" style="9" customWidth="1"/>
    <col min="12794" max="12794" width="9.140625" style="9" customWidth="1"/>
    <col min="12795" max="12795" width="6.85546875" style="9" customWidth="1"/>
    <col min="12796" max="12796" width="15" style="9" bestFit="1" customWidth="1"/>
    <col min="12797" max="13021" width="9.140625" style="9"/>
    <col min="13022" max="13022" width="4" style="9" customWidth="1"/>
    <col min="13023" max="13023" width="24.42578125" style="9" customWidth="1"/>
    <col min="13024" max="13024" width="19.85546875" style="9" customWidth="1"/>
    <col min="13025" max="13025" width="9.28515625" style="9" customWidth="1"/>
    <col min="13026" max="13026" width="10" style="9" customWidth="1"/>
    <col min="13027" max="13027" width="8.42578125" style="9" customWidth="1"/>
    <col min="13028" max="13028" width="12.28515625" style="9" customWidth="1"/>
    <col min="13029" max="13029" width="7.5703125" style="9" customWidth="1"/>
    <col min="13030" max="13030" width="7.85546875" style="9" customWidth="1"/>
    <col min="13031" max="13031" width="8.28515625" style="9" customWidth="1"/>
    <col min="13032" max="13032" width="9.140625" style="9"/>
    <col min="13033" max="13035" width="7.5703125" style="9" customWidth="1"/>
    <col min="13036" max="13036" width="10.28515625" style="9" customWidth="1"/>
    <col min="13037" max="13037" width="10.5703125" style="9" customWidth="1"/>
    <col min="13038" max="13038" width="11.140625" style="9" customWidth="1"/>
    <col min="13039" max="13039" width="10.42578125" style="9" customWidth="1"/>
    <col min="13040" max="13049" width="11" style="9" customWidth="1"/>
    <col min="13050" max="13050" width="9.140625" style="9" customWidth="1"/>
    <col min="13051" max="13051" width="6.85546875" style="9" customWidth="1"/>
    <col min="13052" max="13052" width="15" style="9" bestFit="1" customWidth="1"/>
    <col min="13053" max="13277" width="9.140625" style="9"/>
    <col min="13278" max="13278" width="4" style="9" customWidth="1"/>
    <col min="13279" max="13279" width="24.42578125" style="9" customWidth="1"/>
    <col min="13280" max="13280" width="19.85546875" style="9" customWidth="1"/>
    <col min="13281" max="13281" width="9.28515625" style="9" customWidth="1"/>
    <col min="13282" max="13282" width="10" style="9" customWidth="1"/>
    <col min="13283" max="13283" width="8.42578125" style="9" customWidth="1"/>
    <col min="13284" max="13284" width="12.28515625" style="9" customWidth="1"/>
    <col min="13285" max="13285" width="7.5703125" style="9" customWidth="1"/>
    <col min="13286" max="13286" width="7.85546875" style="9" customWidth="1"/>
    <col min="13287" max="13287" width="8.28515625" style="9" customWidth="1"/>
    <col min="13288" max="13288" width="9.140625" style="9"/>
    <col min="13289" max="13291" width="7.5703125" style="9" customWidth="1"/>
    <col min="13292" max="13292" width="10.28515625" style="9" customWidth="1"/>
    <col min="13293" max="13293" width="10.5703125" style="9" customWidth="1"/>
    <col min="13294" max="13294" width="11.140625" style="9" customWidth="1"/>
    <col min="13295" max="13295" width="10.42578125" style="9" customWidth="1"/>
    <col min="13296" max="13305" width="11" style="9" customWidth="1"/>
    <col min="13306" max="13306" width="9.140625" style="9" customWidth="1"/>
    <col min="13307" max="13307" width="6.85546875" style="9" customWidth="1"/>
    <col min="13308" max="13308" width="15" style="9" bestFit="1" customWidth="1"/>
    <col min="13309" max="13533" width="9.140625" style="9"/>
    <col min="13534" max="13534" width="4" style="9" customWidth="1"/>
    <col min="13535" max="13535" width="24.42578125" style="9" customWidth="1"/>
    <col min="13536" max="13536" width="19.85546875" style="9" customWidth="1"/>
    <col min="13537" max="13537" width="9.28515625" style="9" customWidth="1"/>
    <col min="13538" max="13538" width="10" style="9" customWidth="1"/>
    <col min="13539" max="13539" width="8.42578125" style="9" customWidth="1"/>
    <col min="13540" max="13540" width="12.28515625" style="9" customWidth="1"/>
    <col min="13541" max="13541" width="7.5703125" style="9" customWidth="1"/>
    <col min="13542" max="13542" width="7.85546875" style="9" customWidth="1"/>
    <col min="13543" max="13543" width="8.28515625" style="9" customWidth="1"/>
    <col min="13544" max="13544" width="9.140625" style="9"/>
    <col min="13545" max="13547" width="7.5703125" style="9" customWidth="1"/>
    <col min="13548" max="13548" width="10.28515625" style="9" customWidth="1"/>
    <col min="13549" max="13549" width="10.5703125" style="9" customWidth="1"/>
    <col min="13550" max="13550" width="11.140625" style="9" customWidth="1"/>
    <col min="13551" max="13551" width="10.42578125" style="9" customWidth="1"/>
    <col min="13552" max="13561" width="11" style="9" customWidth="1"/>
    <col min="13562" max="13562" width="9.140625" style="9" customWidth="1"/>
    <col min="13563" max="13563" width="6.85546875" style="9" customWidth="1"/>
    <col min="13564" max="13564" width="15" style="9" bestFit="1" customWidth="1"/>
    <col min="13565" max="13789" width="9.140625" style="9"/>
    <col min="13790" max="13790" width="4" style="9" customWidth="1"/>
    <col min="13791" max="13791" width="24.42578125" style="9" customWidth="1"/>
    <col min="13792" max="13792" width="19.85546875" style="9" customWidth="1"/>
    <col min="13793" max="13793" width="9.28515625" style="9" customWidth="1"/>
    <col min="13794" max="13794" width="10" style="9" customWidth="1"/>
    <col min="13795" max="13795" width="8.42578125" style="9" customWidth="1"/>
    <col min="13796" max="13796" width="12.28515625" style="9" customWidth="1"/>
    <col min="13797" max="13797" width="7.5703125" style="9" customWidth="1"/>
    <col min="13798" max="13798" width="7.85546875" style="9" customWidth="1"/>
    <col min="13799" max="13799" width="8.28515625" style="9" customWidth="1"/>
    <col min="13800" max="13800" width="9.140625" style="9"/>
    <col min="13801" max="13803" width="7.5703125" style="9" customWidth="1"/>
    <col min="13804" max="13804" width="10.28515625" style="9" customWidth="1"/>
    <col min="13805" max="13805" width="10.5703125" style="9" customWidth="1"/>
    <col min="13806" max="13806" width="11.140625" style="9" customWidth="1"/>
    <col min="13807" max="13807" width="10.42578125" style="9" customWidth="1"/>
    <col min="13808" max="13817" width="11" style="9" customWidth="1"/>
    <col min="13818" max="13818" width="9.140625" style="9" customWidth="1"/>
    <col min="13819" max="13819" width="6.85546875" style="9" customWidth="1"/>
    <col min="13820" max="13820" width="15" style="9" bestFit="1" customWidth="1"/>
    <col min="13821" max="14045" width="9.140625" style="9"/>
    <col min="14046" max="14046" width="4" style="9" customWidth="1"/>
    <col min="14047" max="14047" width="24.42578125" style="9" customWidth="1"/>
    <col min="14048" max="14048" width="19.85546875" style="9" customWidth="1"/>
    <col min="14049" max="14049" width="9.28515625" style="9" customWidth="1"/>
    <col min="14050" max="14050" width="10" style="9" customWidth="1"/>
    <col min="14051" max="14051" width="8.42578125" style="9" customWidth="1"/>
    <col min="14052" max="14052" width="12.28515625" style="9" customWidth="1"/>
    <col min="14053" max="14053" width="7.5703125" style="9" customWidth="1"/>
    <col min="14054" max="14054" width="7.85546875" style="9" customWidth="1"/>
    <col min="14055" max="14055" width="8.28515625" style="9" customWidth="1"/>
    <col min="14056" max="14056" width="9.140625" style="9"/>
    <col min="14057" max="14059" width="7.5703125" style="9" customWidth="1"/>
    <col min="14060" max="14060" width="10.28515625" style="9" customWidth="1"/>
    <col min="14061" max="14061" width="10.5703125" style="9" customWidth="1"/>
    <col min="14062" max="14062" width="11.140625" style="9" customWidth="1"/>
    <col min="14063" max="14063" width="10.42578125" style="9" customWidth="1"/>
    <col min="14064" max="14073" width="11" style="9" customWidth="1"/>
    <col min="14074" max="14074" width="9.140625" style="9" customWidth="1"/>
    <col min="14075" max="14075" width="6.85546875" style="9" customWidth="1"/>
    <col min="14076" max="14076" width="15" style="9" bestFit="1" customWidth="1"/>
    <col min="14077" max="14301" width="9.140625" style="9"/>
    <col min="14302" max="14302" width="4" style="9" customWidth="1"/>
    <col min="14303" max="14303" width="24.42578125" style="9" customWidth="1"/>
    <col min="14304" max="14304" width="19.85546875" style="9" customWidth="1"/>
    <col min="14305" max="14305" width="9.28515625" style="9" customWidth="1"/>
    <col min="14306" max="14306" width="10" style="9" customWidth="1"/>
    <col min="14307" max="14307" width="8.42578125" style="9" customWidth="1"/>
    <col min="14308" max="14308" width="12.28515625" style="9" customWidth="1"/>
    <col min="14309" max="14309" width="7.5703125" style="9" customWidth="1"/>
    <col min="14310" max="14310" width="7.85546875" style="9" customWidth="1"/>
    <col min="14311" max="14311" width="8.28515625" style="9" customWidth="1"/>
    <col min="14312" max="14312" width="9.140625" style="9"/>
    <col min="14313" max="14315" width="7.5703125" style="9" customWidth="1"/>
    <col min="14316" max="14316" width="10.28515625" style="9" customWidth="1"/>
    <col min="14317" max="14317" width="10.5703125" style="9" customWidth="1"/>
    <col min="14318" max="14318" width="11.140625" style="9" customWidth="1"/>
    <col min="14319" max="14319" width="10.42578125" style="9" customWidth="1"/>
    <col min="14320" max="14329" width="11" style="9" customWidth="1"/>
    <col min="14330" max="14330" width="9.140625" style="9" customWidth="1"/>
    <col min="14331" max="14331" width="6.85546875" style="9" customWidth="1"/>
    <col min="14332" max="14332" width="15" style="9" bestFit="1" customWidth="1"/>
    <col min="14333" max="14557" width="9.140625" style="9"/>
    <col min="14558" max="14558" width="4" style="9" customWidth="1"/>
    <col min="14559" max="14559" width="24.42578125" style="9" customWidth="1"/>
    <col min="14560" max="14560" width="19.85546875" style="9" customWidth="1"/>
    <col min="14561" max="14561" width="9.28515625" style="9" customWidth="1"/>
    <col min="14562" max="14562" width="10" style="9" customWidth="1"/>
    <col min="14563" max="14563" width="8.42578125" style="9" customWidth="1"/>
    <col min="14564" max="14564" width="12.28515625" style="9" customWidth="1"/>
    <col min="14565" max="14565" width="7.5703125" style="9" customWidth="1"/>
    <col min="14566" max="14566" width="7.85546875" style="9" customWidth="1"/>
    <col min="14567" max="14567" width="8.28515625" style="9" customWidth="1"/>
    <col min="14568" max="14568" width="9.140625" style="9"/>
    <col min="14569" max="14571" width="7.5703125" style="9" customWidth="1"/>
    <col min="14572" max="14572" width="10.28515625" style="9" customWidth="1"/>
    <col min="14573" max="14573" width="10.5703125" style="9" customWidth="1"/>
    <col min="14574" max="14574" width="11.140625" style="9" customWidth="1"/>
    <col min="14575" max="14575" width="10.42578125" style="9" customWidth="1"/>
    <col min="14576" max="14585" width="11" style="9" customWidth="1"/>
    <col min="14586" max="14586" width="9.140625" style="9" customWidth="1"/>
    <col min="14587" max="14587" width="6.85546875" style="9" customWidth="1"/>
    <col min="14588" max="14588" width="15" style="9" bestFit="1" customWidth="1"/>
    <col min="14589" max="14813" width="9.140625" style="9"/>
    <col min="14814" max="14814" width="4" style="9" customWidth="1"/>
    <col min="14815" max="14815" width="24.42578125" style="9" customWidth="1"/>
    <col min="14816" max="14816" width="19.85546875" style="9" customWidth="1"/>
    <col min="14817" max="14817" width="9.28515625" style="9" customWidth="1"/>
    <col min="14818" max="14818" width="10" style="9" customWidth="1"/>
    <col min="14819" max="14819" width="8.42578125" style="9" customWidth="1"/>
    <col min="14820" max="14820" width="12.28515625" style="9" customWidth="1"/>
    <col min="14821" max="14821" width="7.5703125" style="9" customWidth="1"/>
    <col min="14822" max="14822" width="7.85546875" style="9" customWidth="1"/>
    <col min="14823" max="14823" width="8.28515625" style="9" customWidth="1"/>
    <col min="14824" max="14824" width="9.140625" style="9"/>
    <col min="14825" max="14827" width="7.5703125" style="9" customWidth="1"/>
    <col min="14828" max="14828" width="10.28515625" style="9" customWidth="1"/>
    <col min="14829" max="14829" width="10.5703125" style="9" customWidth="1"/>
    <col min="14830" max="14830" width="11.140625" style="9" customWidth="1"/>
    <col min="14831" max="14831" width="10.42578125" style="9" customWidth="1"/>
    <col min="14832" max="14841" width="11" style="9" customWidth="1"/>
    <col min="14842" max="14842" width="9.140625" style="9" customWidth="1"/>
    <col min="14843" max="14843" width="6.85546875" style="9" customWidth="1"/>
    <col min="14844" max="14844" width="15" style="9" bestFit="1" customWidth="1"/>
    <col min="14845" max="15069" width="9.140625" style="9"/>
    <col min="15070" max="15070" width="4" style="9" customWidth="1"/>
    <col min="15071" max="15071" width="24.42578125" style="9" customWidth="1"/>
    <col min="15072" max="15072" width="19.85546875" style="9" customWidth="1"/>
    <col min="15073" max="15073" width="9.28515625" style="9" customWidth="1"/>
    <col min="15074" max="15074" width="10" style="9" customWidth="1"/>
    <col min="15075" max="15075" width="8.42578125" style="9" customWidth="1"/>
    <col min="15076" max="15076" width="12.28515625" style="9" customWidth="1"/>
    <col min="15077" max="15077" width="7.5703125" style="9" customWidth="1"/>
    <col min="15078" max="15078" width="7.85546875" style="9" customWidth="1"/>
    <col min="15079" max="15079" width="8.28515625" style="9" customWidth="1"/>
    <col min="15080" max="15080" width="9.140625" style="9"/>
    <col min="15081" max="15083" width="7.5703125" style="9" customWidth="1"/>
    <col min="15084" max="15084" width="10.28515625" style="9" customWidth="1"/>
    <col min="15085" max="15085" width="10.5703125" style="9" customWidth="1"/>
    <col min="15086" max="15086" width="11.140625" style="9" customWidth="1"/>
    <col min="15087" max="15087" width="10.42578125" style="9" customWidth="1"/>
    <col min="15088" max="15097" width="11" style="9" customWidth="1"/>
    <col min="15098" max="15098" width="9.140625" style="9" customWidth="1"/>
    <col min="15099" max="15099" width="6.85546875" style="9" customWidth="1"/>
    <col min="15100" max="15100" width="15" style="9" bestFit="1" customWidth="1"/>
    <col min="15101" max="15325" width="9.140625" style="9"/>
    <col min="15326" max="15326" width="4" style="9" customWidth="1"/>
    <col min="15327" max="15327" width="24.42578125" style="9" customWidth="1"/>
    <col min="15328" max="15328" width="19.85546875" style="9" customWidth="1"/>
    <col min="15329" max="15329" width="9.28515625" style="9" customWidth="1"/>
    <col min="15330" max="15330" width="10" style="9" customWidth="1"/>
    <col min="15331" max="15331" width="8.42578125" style="9" customWidth="1"/>
    <col min="15332" max="15332" width="12.28515625" style="9" customWidth="1"/>
    <col min="15333" max="15333" width="7.5703125" style="9" customWidth="1"/>
    <col min="15334" max="15334" width="7.85546875" style="9" customWidth="1"/>
    <col min="15335" max="15335" width="8.28515625" style="9" customWidth="1"/>
    <col min="15336" max="15336" width="9.140625" style="9"/>
    <col min="15337" max="15339" width="7.5703125" style="9" customWidth="1"/>
    <col min="15340" max="15340" width="10.28515625" style="9" customWidth="1"/>
    <col min="15341" max="15341" width="10.5703125" style="9" customWidth="1"/>
    <col min="15342" max="15342" width="11.140625" style="9" customWidth="1"/>
    <col min="15343" max="15343" width="10.42578125" style="9" customWidth="1"/>
    <col min="15344" max="15353" width="11" style="9" customWidth="1"/>
    <col min="15354" max="15354" width="9.140625" style="9" customWidth="1"/>
    <col min="15355" max="15355" width="6.85546875" style="9" customWidth="1"/>
    <col min="15356" max="15356" width="15" style="9" bestFit="1" customWidth="1"/>
    <col min="15357" max="15581" width="9.140625" style="9"/>
    <col min="15582" max="15582" width="4" style="9" customWidth="1"/>
    <col min="15583" max="15583" width="24.42578125" style="9" customWidth="1"/>
    <col min="15584" max="15584" width="19.85546875" style="9" customWidth="1"/>
    <col min="15585" max="15585" width="9.28515625" style="9" customWidth="1"/>
    <col min="15586" max="15586" width="10" style="9" customWidth="1"/>
    <col min="15587" max="15587" width="8.42578125" style="9" customWidth="1"/>
    <col min="15588" max="15588" width="12.28515625" style="9" customWidth="1"/>
    <col min="15589" max="15589" width="7.5703125" style="9" customWidth="1"/>
    <col min="15590" max="15590" width="7.85546875" style="9" customWidth="1"/>
    <col min="15591" max="15591" width="8.28515625" style="9" customWidth="1"/>
    <col min="15592" max="15592" width="9.140625" style="9"/>
    <col min="15593" max="15595" width="7.5703125" style="9" customWidth="1"/>
    <col min="15596" max="15596" width="10.28515625" style="9" customWidth="1"/>
    <col min="15597" max="15597" width="10.5703125" style="9" customWidth="1"/>
    <col min="15598" max="15598" width="11.140625" style="9" customWidth="1"/>
    <col min="15599" max="15599" width="10.42578125" style="9" customWidth="1"/>
    <col min="15600" max="15609" width="11" style="9" customWidth="1"/>
    <col min="15610" max="15610" width="9.140625" style="9" customWidth="1"/>
    <col min="15611" max="15611" width="6.85546875" style="9" customWidth="1"/>
    <col min="15612" max="15612" width="15" style="9" bestFit="1" customWidth="1"/>
    <col min="15613" max="15837" width="9.140625" style="9"/>
    <col min="15838" max="15838" width="4" style="9" customWidth="1"/>
    <col min="15839" max="15839" width="24.42578125" style="9" customWidth="1"/>
    <col min="15840" max="15840" width="19.85546875" style="9" customWidth="1"/>
    <col min="15841" max="15841" width="9.28515625" style="9" customWidth="1"/>
    <col min="15842" max="15842" width="10" style="9" customWidth="1"/>
    <col min="15843" max="15843" width="8.42578125" style="9" customWidth="1"/>
    <col min="15844" max="15844" width="12.28515625" style="9" customWidth="1"/>
    <col min="15845" max="15845" width="7.5703125" style="9" customWidth="1"/>
    <col min="15846" max="15846" width="7.85546875" style="9" customWidth="1"/>
    <col min="15847" max="15847" width="8.28515625" style="9" customWidth="1"/>
    <col min="15848" max="15848" width="9.140625" style="9"/>
    <col min="15849" max="15851" width="7.5703125" style="9" customWidth="1"/>
    <col min="15852" max="15852" width="10.28515625" style="9" customWidth="1"/>
    <col min="15853" max="15853" width="10.5703125" style="9" customWidth="1"/>
    <col min="15854" max="15854" width="11.140625" style="9" customWidth="1"/>
    <col min="15855" max="15855" width="10.42578125" style="9" customWidth="1"/>
    <col min="15856" max="15865" width="11" style="9" customWidth="1"/>
    <col min="15866" max="15866" width="9.140625" style="9" customWidth="1"/>
    <col min="15867" max="15867" width="6.85546875" style="9" customWidth="1"/>
    <col min="15868" max="15868" width="15" style="9" bestFit="1" customWidth="1"/>
    <col min="15869" max="16093" width="9.140625" style="9"/>
    <col min="16094" max="16094" width="4" style="9" customWidth="1"/>
    <col min="16095" max="16095" width="24.42578125" style="9" customWidth="1"/>
    <col min="16096" max="16096" width="19.85546875" style="9" customWidth="1"/>
    <col min="16097" max="16097" width="9.28515625" style="9" customWidth="1"/>
    <col min="16098" max="16098" width="10" style="9" customWidth="1"/>
    <col min="16099" max="16099" width="8.42578125" style="9" customWidth="1"/>
    <col min="16100" max="16100" width="12.28515625" style="9" customWidth="1"/>
    <col min="16101" max="16101" width="7.5703125" style="9" customWidth="1"/>
    <col min="16102" max="16102" width="7.85546875" style="9" customWidth="1"/>
    <col min="16103" max="16103" width="8.28515625" style="9" customWidth="1"/>
    <col min="16104" max="16104" width="9.140625" style="9"/>
    <col min="16105" max="16107" width="7.5703125" style="9" customWidth="1"/>
    <col min="16108" max="16108" width="10.28515625" style="9" customWidth="1"/>
    <col min="16109" max="16109" width="10.5703125" style="9" customWidth="1"/>
    <col min="16110" max="16110" width="11.140625" style="9" customWidth="1"/>
    <col min="16111" max="16111" width="10.42578125" style="9" customWidth="1"/>
    <col min="16112" max="16121" width="11" style="9" customWidth="1"/>
    <col min="16122" max="16122" width="9.140625" style="9" customWidth="1"/>
    <col min="16123" max="16123" width="6.85546875" style="9" customWidth="1"/>
    <col min="16124" max="16124" width="15" style="9" bestFit="1" customWidth="1"/>
    <col min="16125" max="16384" width="9.140625" style="9"/>
  </cols>
  <sheetData>
    <row r="2" spans="1:21" ht="51">
      <c r="A2" s="1" t="s">
        <v>0</v>
      </c>
      <c r="B2" s="2" t="s">
        <v>1</v>
      </c>
      <c r="C2" s="165" t="s">
        <v>208</v>
      </c>
      <c r="D2" s="165" t="s">
        <v>209</v>
      </c>
      <c r="E2" s="165" t="s">
        <v>210</v>
      </c>
      <c r="F2" s="99" t="s">
        <v>153</v>
      </c>
      <c r="G2" s="99" t="s">
        <v>154</v>
      </c>
      <c r="H2" s="99" t="s">
        <v>155</v>
      </c>
      <c r="I2" s="100" t="s">
        <v>156</v>
      </c>
      <c r="J2" s="111" t="s">
        <v>165</v>
      </c>
      <c r="K2" s="100" t="s">
        <v>158</v>
      </c>
      <c r="L2" s="101" t="s">
        <v>159</v>
      </c>
      <c r="M2" s="100" t="s">
        <v>160</v>
      </c>
      <c r="N2" s="102" t="s">
        <v>161</v>
      </c>
      <c r="O2" s="100" t="s">
        <v>162</v>
      </c>
      <c r="P2" s="67" t="s">
        <v>180</v>
      </c>
      <c r="Q2" s="66" t="s">
        <v>174</v>
      </c>
      <c r="R2" s="67" t="s">
        <v>181</v>
      </c>
      <c r="S2" s="66" t="s">
        <v>173</v>
      </c>
      <c r="T2" s="67" t="s">
        <v>182</v>
      </c>
      <c r="U2" s="66" t="s">
        <v>172</v>
      </c>
    </row>
    <row r="3" spans="1:21">
      <c r="A3" s="1"/>
      <c r="B3" s="2"/>
      <c r="C3" s="2"/>
      <c r="D3" s="2"/>
      <c r="E3" s="2"/>
      <c r="F3" s="99"/>
      <c r="G3" s="99"/>
      <c r="H3" s="99"/>
      <c r="I3" s="100"/>
      <c r="J3" s="111"/>
      <c r="K3" s="100"/>
      <c r="L3" s="101">
        <v>2</v>
      </c>
      <c r="M3" s="100"/>
      <c r="N3" s="102">
        <v>10</v>
      </c>
      <c r="O3" s="100"/>
      <c r="P3" s="102">
        <v>3</v>
      </c>
      <c r="Q3" s="100"/>
      <c r="R3" s="102">
        <v>4</v>
      </c>
      <c r="S3" s="100"/>
      <c r="T3" s="102">
        <v>5</v>
      </c>
      <c r="U3" s="100"/>
    </row>
    <row r="4" spans="1:21">
      <c r="A4" s="1"/>
      <c r="B4" s="2"/>
      <c r="C4" s="2"/>
      <c r="D4" s="2"/>
      <c r="E4" s="2"/>
      <c r="F4" s="99"/>
      <c r="G4" s="99"/>
      <c r="H4" s="99"/>
      <c r="I4" s="100"/>
      <c r="J4" s="111"/>
      <c r="K4" s="100"/>
      <c r="L4" s="101">
        <v>12</v>
      </c>
      <c r="M4" s="100"/>
      <c r="N4" s="102">
        <v>12</v>
      </c>
      <c r="O4" s="100"/>
      <c r="P4" s="102">
        <v>12</v>
      </c>
      <c r="Q4" s="100"/>
      <c r="R4" s="102">
        <v>12</v>
      </c>
      <c r="S4" s="100"/>
      <c r="T4" s="102">
        <v>12</v>
      </c>
      <c r="U4" s="100"/>
    </row>
    <row r="5" spans="1:21">
      <c r="A5" s="25">
        <v>1</v>
      </c>
      <c r="B5" s="25" t="s">
        <v>99</v>
      </c>
      <c r="C5" s="25">
        <v>4908</v>
      </c>
      <c r="D5" s="25">
        <v>2740</v>
      </c>
      <c r="E5" s="25">
        <v>94</v>
      </c>
      <c r="F5" s="92">
        <v>7996.333333333333</v>
      </c>
      <c r="G5" s="92">
        <v>114730</v>
      </c>
      <c r="H5" s="26">
        <v>0.16520000000000001</v>
      </c>
      <c r="I5" s="16">
        <f>G5*H5</f>
        <v>18953.396000000001</v>
      </c>
      <c r="J5" s="16">
        <v>301957</v>
      </c>
      <c r="K5" s="117">
        <f>J5*H5</f>
        <v>49883.296400000007</v>
      </c>
      <c r="L5" s="44">
        <f>F5*$L$3*$L$4</f>
        <v>191912</v>
      </c>
      <c r="M5" s="60">
        <f>L5*H5</f>
        <v>31703.862400000002</v>
      </c>
      <c r="N5" s="60">
        <f>F5*$N$3*$N$4</f>
        <v>959560</v>
      </c>
      <c r="O5" s="60">
        <f>N5*H5</f>
        <v>158519.31200000001</v>
      </c>
      <c r="P5" s="60">
        <f>F5*$P$3*$P$4</f>
        <v>287868</v>
      </c>
      <c r="Q5" s="60">
        <f>P5*H5</f>
        <v>47555.793600000005</v>
      </c>
      <c r="R5" s="60">
        <f>F5*$R$3*$R$4</f>
        <v>383824</v>
      </c>
      <c r="S5" s="60">
        <f>R5*H5</f>
        <v>63407.724800000004</v>
      </c>
      <c r="T5" s="60">
        <f>F5*$T$3*$T$4</f>
        <v>479780</v>
      </c>
      <c r="U5" s="60">
        <f>T5*H5</f>
        <v>79259.656000000003</v>
      </c>
    </row>
    <row r="6" spans="1:21" ht="27.75" customHeight="1">
      <c r="A6" s="25">
        <v>2</v>
      </c>
      <c r="B6" s="25" t="s">
        <v>102</v>
      </c>
      <c r="C6" s="25">
        <v>62002</v>
      </c>
      <c r="D6" s="25">
        <v>48046</v>
      </c>
      <c r="E6" s="25">
        <v>2071</v>
      </c>
      <c r="F6" s="92">
        <v>101791.75</v>
      </c>
      <c r="G6" s="92">
        <v>1261408</v>
      </c>
      <c r="H6" s="35">
        <v>4.4999999999999998E-2</v>
      </c>
      <c r="I6" s="16">
        <f>G6*H6</f>
        <v>56763.360000000001</v>
      </c>
      <c r="J6" s="16">
        <v>1661474</v>
      </c>
      <c r="K6" s="117">
        <f>J6*H6</f>
        <v>74766.33</v>
      </c>
      <c r="L6" s="44">
        <f>F6*$L$3*$L$4</f>
        <v>2443002</v>
      </c>
      <c r="M6" s="60">
        <f>L6*H6</f>
        <v>109935.09</v>
      </c>
      <c r="N6" s="60">
        <f>F6*$N$3*$N$4</f>
        <v>12215010</v>
      </c>
      <c r="O6" s="60">
        <f>N6*H6</f>
        <v>549675.44999999995</v>
      </c>
      <c r="P6" s="60">
        <f>F6*$P$3*$P$4</f>
        <v>3664503</v>
      </c>
      <c r="Q6" s="60">
        <f>P6*H6</f>
        <v>164902.63499999998</v>
      </c>
      <c r="R6" s="60">
        <f>F6*$R$3*$R$4</f>
        <v>4886004</v>
      </c>
      <c r="S6" s="60">
        <f>R6*H6</f>
        <v>219870.18</v>
      </c>
      <c r="T6" s="60">
        <f>F6*$T$3*$T$4</f>
        <v>6107505</v>
      </c>
      <c r="U6" s="60">
        <f>T6*H6</f>
        <v>274837.72499999998</v>
      </c>
    </row>
    <row r="7" spans="1:21">
      <c r="I7" s="57">
        <f>SUM(I5:I6)</f>
        <v>75716.755999999994</v>
      </c>
      <c r="M7" s="119">
        <f>SUM(M5:M6)</f>
        <v>141638.95240000001</v>
      </c>
      <c r="O7" s="119">
        <f>SUM(O5:O6)</f>
        <v>708194.76199999999</v>
      </c>
      <c r="Q7" s="119">
        <f>SUM(Q5:Q6)</f>
        <v>212458.42859999998</v>
      </c>
      <c r="S7" s="119">
        <f>SUM(S5:S6)</f>
        <v>283277.90480000002</v>
      </c>
      <c r="U7" s="119">
        <f>SUM(U5:U6)</f>
        <v>354097.38099999999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V45"/>
  <sheetViews>
    <sheetView workbookViewId="0">
      <selection sqref="A1:XFD1048576"/>
    </sheetView>
  </sheetViews>
  <sheetFormatPr defaultRowHeight="15"/>
  <cols>
    <col min="1" max="1" width="4" style="9" customWidth="1"/>
    <col min="2" max="2" width="24.42578125" style="9" customWidth="1"/>
    <col min="3" max="3" width="19.85546875" style="9" customWidth="1"/>
    <col min="4" max="4" width="9.28515625" style="9" customWidth="1"/>
    <col min="5" max="8" width="11.85546875" style="57" customWidth="1"/>
    <col min="9" max="9" width="8.28515625" style="9" customWidth="1"/>
    <col min="10" max="10" width="9.140625" style="9"/>
    <col min="11" max="13" width="7.5703125" style="9" customWidth="1"/>
    <col min="14" max="14" width="10.28515625" style="9" customWidth="1"/>
    <col min="15" max="15" width="10.5703125" style="9" customWidth="1"/>
    <col min="16" max="16" width="11.140625" style="9" customWidth="1"/>
    <col min="17" max="17" width="10.42578125" style="9" customWidth="1"/>
    <col min="18" max="25" width="11" style="9" customWidth="1"/>
    <col min="26" max="27" width="11" style="53" customWidth="1"/>
    <col min="28" max="28" width="8.28515625" style="58" customWidth="1"/>
    <col min="29" max="29" width="9.85546875" style="58" customWidth="1"/>
    <col min="30" max="31" width="9.28515625" style="58" customWidth="1"/>
    <col min="32" max="32" width="15.28515625" style="9" customWidth="1"/>
    <col min="33" max="33" width="12.5703125" style="55" customWidth="1"/>
    <col min="34" max="34" width="20.7109375" style="19" customWidth="1"/>
    <col min="35" max="38" width="20.7109375" style="11" customWidth="1"/>
    <col min="40" max="40" width="38.5703125" style="9" customWidth="1"/>
    <col min="41" max="41" width="9.140625" style="13"/>
    <col min="42" max="45" width="9.140625" style="9"/>
    <col min="47" max="47" width="12.42578125" style="56" customWidth="1"/>
    <col min="48" max="48" width="16.7109375" style="9" customWidth="1"/>
    <col min="49" max="258" width="9.140625" style="9"/>
    <col min="259" max="259" width="4" style="9" customWidth="1"/>
    <col min="260" max="260" width="24.42578125" style="9" customWidth="1"/>
    <col min="261" max="261" width="19.85546875" style="9" customWidth="1"/>
    <col min="262" max="262" width="9.28515625" style="9" customWidth="1"/>
    <col min="263" max="263" width="10" style="9" customWidth="1"/>
    <col min="264" max="264" width="8.42578125" style="9" customWidth="1"/>
    <col min="265" max="265" width="12.28515625" style="9" customWidth="1"/>
    <col min="266" max="266" width="7.5703125" style="9" customWidth="1"/>
    <col min="267" max="267" width="7.85546875" style="9" customWidth="1"/>
    <col min="268" max="268" width="8.28515625" style="9" customWidth="1"/>
    <col min="269" max="269" width="9.140625" style="9"/>
    <col min="270" max="272" width="7.5703125" style="9" customWidth="1"/>
    <col min="273" max="273" width="10.28515625" style="9" customWidth="1"/>
    <col min="274" max="274" width="10.5703125" style="9" customWidth="1"/>
    <col min="275" max="275" width="11.140625" style="9" customWidth="1"/>
    <col min="276" max="276" width="10.42578125" style="9" customWidth="1"/>
    <col min="277" max="286" width="11" style="9" customWidth="1"/>
    <col min="287" max="287" width="9.140625" style="9" customWidth="1"/>
    <col min="288" max="288" width="6.85546875" style="9" customWidth="1"/>
    <col min="289" max="289" width="15" style="9" bestFit="1" customWidth="1"/>
    <col min="290" max="514" width="9.140625" style="9"/>
    <col min="515" max="515" width="4" style="9" customWidth="1"/>
    <col min="516" max="516" width="24.42578125" style="9" customWidth="1"/>
    <col min="517" max="517" width="19.85546875" style="9" customWidth="1"/>
    <col min="518" max="518" width="9.28515625" style="9" customWidth="1"/>
    <col min="519" max="519" width="10" style="9" customWidth="1"/>
    <col min="520" max="520" width="8.42578125" style="9" customWidth="1"/>
    <col min="521" max="521" width="12.28515625" style="9" customWidth="1"/>
    <col min="522" max="522" width="7.5703125" style="9" customWidth="1"/>
    <col min="523" max="523" width="7.85546875" style="9" customWidth="1"/>
    <col min="524" max="524" width="8.28515625" style="9" customWidth="1"/>
    <col min="525" max="525" width="9.140625" style="9"/>
    <col min="526" max="528" width="7.5703125" style="9" customWidth="1"/>
    <col min="529" max="529" width="10.28515625" style="9" customWidth="1"/>
    <col min="530" max="530" width="10.5703125" style="9" customWidth="1"/>
    <col min="531" max="531" width="11.140625" style="9" customWidth="1"/>
    <col min="532" max="532" width="10.42578125" style="9" customWidth="1"/>
    <col min="533" max="542" width="11" style="9" customWidth="1"/>
    <col min="543" max="543" width="9.140625" style="9" customWidth="1"/>
    <col min="544" max="544" width="6.85546875" style="9" customWidth="1"/>
    <col min="545" max="545" width="15" style="9" bestFit="1" customWidth="1"/>
    <col min="546" max="770" width="9.140625" style="9"/>
    <col min="771" max="771" width="4" style="9" customWidth="1"/>
    <col min="772" max="772" width="24.42578125" style="9" customWidth="1"/>
    <col min="773" max="773" width="19.85546875" style="9" customWidth="1"/>
    <col min="774" max="774" width="9.28515625" style="9" customWidth="1"/>
    <col min="775" max="775" width="10" style="9" customWidth="1"/>
    <col min="776" max="776" width="8.42578125" style="9" customWidth="1"/>
    <col min="777" max="777" width="12.28515625" style="9" customWidth="1"/>
    <col min="778" max="778" width="7.5703125" style="9" customWidth="1"/>
    <col min="779" max="779" width="7.85546875" style="9" customWidth="1"/>
    <col min="780" max="780" width="8.28515625" style="9" customWidth="1"/>
    <col min="781" max="781" width="9.140625" style="9"/>
    <col min="782" max="784" width="7.5703125" style="9" customWidth="1"/>
    <col min="785" max="785" width="10.28515625" style="9" customWidth="1"/>
    <col min="786" max="786" width="10.5703125" style="9" customWidth="1"/>
    <col min="787" max="787" width="11.140625" style="9" customWidth="1"/>
    <col min="788" max="788" width="10.42578125" style="9" customWidth="1"/>
    <col min="789" max="798" width="11" style="9" customWidth="1"/>
    <col min="799" max="799" width="9.140625" style="9" customWidth="1"/>
    <col min="800" max="800" width="6.85546875" style="9" customWidth="1"/>
    <col min="801" max="801" width="15" style="9" bestFit="1" customWidth="1"/>
    <col min="802" max="1026" width="9.140625" style="9"/>
    <col min="1027" max="1027" width="4" style="9" customWidth="1"/>
    <col min="1028" max="1028" width="24.42578125" style="9" customWidth="1"/>
    <col min="1029" max="1029" width="19.85546875" style="9" customWidth="1"/>
    <col min="1030" max="1030" width="9.28515625" style="9" customWidth="1"/>
    <col min="1031" max="1031" width="10" style="9" customWidth="1"/>
    <col min="1032" max="1032" width="8.42578125" style="9" customWidth="1"/>
    <col min="1033" max="1033" width="12.28515625" style="9" customWidth="1"/>
    <col min="1034" max="1034" width="7.5703125" style="9" customWidth="1"/>
    <col min="1035" max="1035" width="7.85546875" style="9" customWidth="1"/>
    <col min="1036" max="1036" width="8.28515625" style="9" customWidth="1"/>
    <col min="1037" max="1037" width="9.140625" style="9"/>
    <col min="1038" max="1040" width="7.5703125" style="9" customWidth="1"/>
    <col min="1041" max="1041" width="10.28515625" style="9" customWidth="1"/>
    <col min="1042" max="1042" width="10.5703125" style="9" customWidth="1"/>
    <col min="1043" max="1043" width="11.140625" style="9" customWidth="1"/>
    <col min="1044" max="1044" width="10.42578125" style="9" customWidth="1"/>
    <col min="1045" max="1054" width="11" style="9" customWidth="1"/>
    <col min="1055" max="1055" width="9.140625" style="9" customWidth="1"/>
    <col min="1056" max="1056" width="6.85546875" style="9" customWidth="1"/>
    <col min="1057" max="1057" width="15" style="9" bestFit="1" customWidth="1"/>
    <col min="1058" max="1282" width="9.140625" style="9"/>
    <col min="1283" max="1283" width="4" style="9" customWidth="1"/>
    <col min="1284" max="1284" width="24.42578125" style="9" customWidth="1"/>
    <col min="1285" max="1285" width="19.85546875" style="9" customWidth="1"/>
    <col min="1286" max="1286" width="9.28515625" style="9" customWidth="1"/>
    <col min="1287" max="1287" width="10" style="9" customWidth="1"/>
    <col min="1288" max="1288" width="8.42578125" style="9" customWidth="1"/>
    <col min="1289" max="1289" width="12.28515625" style="9" customWidth="1"/>
    <col min="1290" max="1290" width="7.5703125" style="9" customWidth="1"/>
    <col min="1291" max="1291" width="7.85546875" style="9" customWidth="1"/>
    <col min="1292" max="1292" width="8.28515625" style="9" customWidth="1"/>
    <col min="1293" max="1293" width="9.140625" style="9"/>
    <col min="1294" max="1296" width="7.5703125" style="9" customWidth="1"/>
    <col min="1297" max="1297" width="10.28515625" style="9" customWidth="1"/>
    <col min="1298" max="1298" width="10.5703125" style="9" customWidth="1"/>
    <col min="1299" max="1299" width="11.140625" style="9" customWidth="1"/>
    <col min="1300" max="1300" width="10.42578125" style="9" customWidth="1"/>
    <col min="1301" max="1310" width="11" style="9" customWidth="1"/>
    <col min="1311" max="1311" width="9.140625" style="9" customWidth="1"/>
    <col min="1312" max="1312" width="6.85546875" style="9" customWidth="1"/>
    <col min="1313" max="1313" width="15" style="9" bestFit="1" customWidth="1"/>
    <col min="1314" max="1538" width="9.140625" style="9"/>
    <col min="1539" max="1539" width="4" style="9" customWidth="1"/>
    <col min="1540" max="1540" width="24.42578125" style="9" customWidth="1"/>
    <col min="1541" max="1541" width="19.85546875" style="9" customWidth="1"/>
    <col min="1542" max="1542" width="9.28515625" style="9" customWidth="1"/>
    <col min="1543" max="1543" width="10" style="9" customWidth="1"/>
    <col min="1544" max="1544" width="8.42578125" style="9" customWidth="1"/>
    <col min="1545" max="1545" width="12.28515625" style="9" customWidth="1"/>
    <col min="1546" max="1546" width="7.5703125" style="9" customWidth="1"/>
    <col min="1547" max="1547" width="7.85546875" style="9" customWidth="1"/>
    <col min="1548" max="1548" width="8.28515625" style="9" customWidth="1"/>
    <col min="1549" max="1549" width="9.140625" style="9"/>
    <col min="1550" max="1552" width="7.5703125" style="9" customWidth="1"/>
    <col min="1553" max="1553" width="10.28515625" style="9" customWidth="1"/>
    <col min="1554" max="1554" width="10.5703125" style="9" customWidth="1"/>
    <col min="1555" max="1555" width="11.140625" style="9" customWidth="1"/>
    <col min="1556" max="1556" width="10.42578125" style="9" customWidth="1"/>
    <col min="1557" max="1566" width="11" style="9" customWidth="1"/>
    <col min="1567" max="1567" width="9.140625" style="9" customWidth="1"/>
    <col min="1568" max="1568" width="6.85546875" style="9" customWidth="1"/>
    <col min="1569" max="1569" width="15" style="9" bestFit="1" customWidth="1"/>
    <col min="1570" max="1794" width="9.140625" style="9"/>
    <col min="1795" max="1795" width="4" style="9" customWidth="1"/>
    <col min="1796" max="1796" width="24.42578125" style="9" customWidth="1"/>
    <col min="1797" max="1797" width="19.85546875" style="9" customWidth="1"/>
    <col min="1798" max="1798" width="9.28515625" style="9" customWidth="1"/>
    <col min="1799" max="1799" width="10" style="9" customWidth="1"/>
    <col min="1800" max="1800" width="8.42578125" style="9" customWidth="1"/>
    <col min="1801" max="1801" width="12.28515625" style="9" customWidth="1"/>
    <col min="1802" max="1802" width="7.5703125" style="9" customWidth="1"/>
    <col min="1803" max="1803" width="7.85546875" style="9" customWidth="1"/>
    <col min="1804" max="1804" width="8.28515625" style="9" customWidth="1"/>
    <col min="1805" max="1805" width="9.140625" style="9"/>
    <col min="1806" max="1808" width="7.5703125" style="9" customWidth="1"/>
    <col min="1809" max="1809" width="10.28515625" style="9" customWidth="1"/>
    <col min="1810" max="1810" width="10.5703125" style="9" customWidth="1"/>
    <col min="1811" max="1811" width="11.140625" style="9" customWidth="1"/>
    <col min="1812" max="1812" width="10.42578125" style="9" customWidth="1"/>
    <col min="1813" max="1822" width="11" style="9" customWidth="1"/>
    <col min="1823" max="1823" width="9.140625" style="9" customWidth="1"/>
    <col min="1824" max="1824" width="6.85546875" style="9" customWidth="1"/>
    <col min="1825" max="1825" width="15" style="9" bestFit="1" customWidth="1"/>
    <col min="1826" max="2050" width="9.140625" style="9"/>
    <col min="2051" max="2051" width="4" style="9" customWidth="1"/>
    <col min="2052" max="2052" width="24.42578125" style="9" customWidth="1"/>
    <col min="2053" max="2053" width="19.85546875" style="9" customWidth="1"/>
    <col min="2054" max="2054" width="9.28515625" style="9" customWidth="1"/>
    <col min="2055" max="2055" width="10" style="9" customWidth="1"/>
    <col min="2056" max="2056" width="8.42578125" style="9" customWidth="1"/>
    <col min="2057" max="2057" width="12.28515625" style="9" customWidth="1"/>
    <col min="2058" max="2058" width="7.5703125" style="9" customWidth="1"/>
    <col min="2059" max="2059" width="7.85546875" style="9" customWidth="1"/>
    <col min="2060" max="2060" width="8.28515625" style="9" customWidth="1"/>
    <col min="2061" max="2061" width="9.140625" style="9"/>
    <col min="2062" max="2064" width="7.5703125" style="9" customWidth="1"/>
    <col min="2065" max="2065" width="10.28515625" style="9" customWidth="1"/>
    <col min="2066" max="2066" width="10.5703125" style="9" customWidth="1"/>
    <col min="2067" max="2067" width="11.140625" style="9" customWidth="1"/>
    <col min="2068" max="2068" width="10.42578125" style="9" customWidth="1"/>
    <col min="2069" max="2078" width="11" style="9" customWidth="1"/>
    <col min="2079" max="2079" width="9.140625" style="9" customWidth="1"/>
    <col min="2080" max="2080" width="6.85546875" style="9" customWidth="1"/>
    <col min="2081" max="2081" width="15" style="9" bestFit="1" customWidth="1"/>
    <col min="2082" max="2306" width="9.140625" style="9"/>
    <col min="2307" max="2307" width="4" style="9" customWidth="1"/>
    <col min="2308" max="2308" width="24.42578125" style="9" customWidth="1"/>
    <col min="2309" max="2309" width="19.85546875" style="9" customWidth="1"/>
    <col min="2310" max="2310" width="9.28515625" style="9" customWidth="1"/>
    <col min="2311" max="2311" width="10" style="9" customWidth="1"/>
    <col min="2312" max="2312" width="8.42578125" style="9" customWidth="1"/>
    <col min="2313" max="2313" width="12.28515625" style="9" customWidth="1"/>
    <col min="2314" max="2314" width="7.5703125" style="9" customWidth="1"/>
    <col min="2315" max="2315" width="7.85546875" style="9" customWidth="1"/>
    <col min="2316" max="2316" width="8.28515625" style="9" customWidth="1"/>
    <col min="2317" max="2317" width="9.140625" style="9"/>
    <col min="2318" max="2320" width="7.5703125" style="9" customWidth="1"/>
    <col min="2321" max="2321" width="10.28515625" style="9" customWidth="1"/>
    <col min="2322" max="2322" width="10.5703125" style="9" customWidth="1"/>
    <col min="2323" max="2323" width="11.140625" style="9" customWidth="1"/>
    <col min="2324" max="2324" width="10.42578125" style="9" customWidth="1"/>
    <col min="2325" max="2334" width="11" style="9" customWidth="1"/>
    <col min="2335" max="2335" width="9.140625" style="9" customWidth="1"/>
    <col min="2336" max="2336" width="6.85546875" style="9" customWidth="1"/>
    <col min="2337" max="2337" width="15" style="9" bestFit="1" customWidth="1"/>
    <col min="2338" max="2562" width="9.140625" style="9"/>
    <col min="2563" max="2563" width="4" style="9" customWidth="1"/>
    <col min="2564" max="2564" width="24.42578125" style="9" customWidth="1"/>
    <col min="2565" max="2565" width="19.85546875" style="9" customWidth="1"/>
    <col min="2566" max="2566" width="9.28515625" style="9" customWidth="1"/>
    <col min="2567" max="2567" width="10" style="9" customWidth="1"/>
    <col min="2568" max="2568" width="8.42578125" style="9" customWidth="1"/>
    <col min="2569" max="2569" width="12.28515625" style="9" customWidth="1"/>
    <col min="2570" max="2570" width="7.5703125" style="9" customWidth="1"/>
    <col min="2571" max="2571" width="7.85546875" style="9" customWidth="1"/>
    <col min="2572" max="2572" width="8.28515625" style="9" customWidth="1"/>
    <col min="2573" max="2573" width="9.140625" style="9"/>
    <col min="2574" max="2576" width="7.5703125" style="9" customWidth="1"/>
    <col min="2577" max="2577" width="10.28515625" style="9" customWidth="1"/>
    <col min="2578" max="2578" width="10.5703125" style="9" customWidth="1"/>
    <col min="2579" max="2579" width="11.140625" style="9" customWidth="1"/>
    <col min="2580" max="2580" width="10.42578125" style="9" customWidth="1"/>
    <col min="2581" max="2590" width="11" style="9" customWidth="1"/>
    <col min="2591" max="2591" width="9.140625" style="9" customWidth="1"/>
    <col min="2592" max="2592" width="6.85546875" style="9" customWidth="1"/>
    <col min="2593" max="2593" width="15" style="9" bestFit="1" customWidth="1"/>
    <col min="2594" max="2818" width="9.140625" style="9"/>
    <col min="2819" max="2819" width="4" style="9" customWidth="1"/>
    <col min="2820" max="2820" width="24.42578125" style="9" customWidth="1"/>
    <col min="2821" max="2821" width="19.85546875" style="9" customWidth="1"/>
    <col min="2822" max="2822" width="9.28515625" style="9" customWidth="1"/>
    <col min="2823" max="2823" width="10" style="9" customWidth="1"/>
    <col min="2824" max="2824" width="8.42578125" style="9" customWidth="1"/>
    <col min="2825" max="2825" width="12.28515625" style="9" customWidth="1"/>
    <col min="2826" max="2826" width="7.5703125" style="9" customWidth="1"/>
    <col min="2827" max="2827" width="7.85546875" style="9" customWidth="1"/>
    <col min="2828" max="2828" width="8.28515625" style="9" customWidth="1"/>
    <col min="2829" max="2829" width="9.140625" style="9"/>
    <col min="2830" max="2832" width="7.5703125" style="9" customWidth="1"/>
    <col min="2833" max="2833" width="10.28515625" style="9" customWidth="1"/>
    <col min="2834" max="2834" width="10.5703125" style="9" customWidth="1"/>
    <col min="2835" max="2835" width="11.140625" style="9" customWidth="1"/>
    <col min="2836" max="2836" width="10.42578125" style="9" customWidth="1"/>
    <col min="2837" max="2846" width="11" style="9" customWidth="1"/>
    <col min="2847" max="2847" width="9.140625" style="9" customWidth="1"/>
    <col min="2848" max="2848" width="6.85546875" style="9" customWidth="1"/>
    <col min="2849" max="2849" width="15" style="9" bestFit="1" customWidth="1"/>
    <col min="2850" max="3074" width="9.140625" style="9"/>
    <col min="3075" max="3075" width="4" style="9" customWidth="1"/>
    <col min="3076" max="3076" width="24.42578125" style="9" customWidth="1"/>
    <col min="3077" max="3077" width="19.85546875" style="9" customWidth="1"/>
    <col min="3078" max="3078" width="9.28515625" style="9" customWidth="1"/>
    <col min="3079" max="3079" width="10" style="9" customWidth="1"/>
    <col min="3080" max="3080" width="8.42578125" style="9" customWidth="1"/>
    <col min="3081" max="3081" width="12.28515625" style="9" customWidth="1"/>
    <col min="3082" max="3082" width="7.5703125" style="9" customWidth="1"/>
    <col min="3083" max="3083" width="7.85546875" style="9" customWidth="1"/>
    <col min="3084" max="3084" width="8.28515625" style="9" customWidth="1"/>
    <col min="3085" max="3085" width="9.140625" style="9"/>
    <col min="3086" max="3088" width="7.5703125" style="9" customWidth="1"/>
    <col min="3089" max="3089" width="10.28515625" style="9" customWidth="1"/>
    <col min="3090" max="3090" width="10.5703125" style="9" customWidth="1"/>
    <col min="3091" max="3091" width="11.140625" style="9" customWidth="1"/>
    <col min="3092" max="3092" width="10.42578125" style="9" customWidth="1"/>
    <col min="3093" max="3102" width="11" style="9" customWidth="1"/>
    <col min="3103" max="3103" width="9.140625" style="9" customWidth="1"/>
    <col min="3104" max="3104" width="6.85546875" style="9" customWidth="1"/>
    <col min="3105" max="3105" width="15" style="9" bestFit="1" customWidth="1"/>
    <col min="3106" max="3330" width="9.140625" style="9"/>
    <col min="3331" max="3331" width="4" style="9" customWidth="1"/>
    <col min="3332" max="3332" width="24.42578125" style="9" customWidth="1"/>
    <col min="3333" max="3333" width="19.85546875" style="9" customWidth="1"/>
    <col min="3334" max="3334" width="9.28515625" style="9" customWidth="1"/>
    <col min="3335" max="3335" width="10" style="9" customWidth="1"/>
    <col min="3336" max="3336" width="8.42578125" style="9" customWidth="1"/>
    <col min="3337" max="3337" width="12.28515625" style="9" customWidth="1"/>
    <col min="3338" max="3338" width="7.5703125" style="9" customWidth="1"/>
    <col min="3339" max="3339" width="7.85546875" style="9" customWidth="1"/>
    <col min="3340" max="3340" width="8.28515625" style="9" customWidth="1"/>
    <col min="3341" max="3341" width="9.140625" style="9"/>
    <col min="3342" max="3344" width="7.5703125" style="9" customWidth="1"/>
    <col min="3345" max="3345" width="10.28515625" style="9" customWidth="1"/>
    <col min="3346" max="3346" width="10.5703125" style="9" customWidth="1"/>
    <col min="3347" max="3347" width="11.140625" style="9" customWidth="1"/>
    <col min="3348" max="3348" width="10.42578125" style="9" customWidth="1"/>
    <col min="3349" max="3358" width="11" style="9" customWidth="1"/>
    <col min="3359" max="3359" width="9.140625" style="9" customWidth="1"/>
    <col min="3360" max="3360" width="6.85546875" style="9" customWidth="1"/>
    <col min="3361" max="3361" width="15" style="9" bestFit="1" customWidth="1"/>
    <col min="3362" max="3586" width="9.140625" style="9"/>
    <col min="3587" max="3587" width="4" style="9" customWidth="1"/>
    <col min="3588" max="3588" width="24.42578125" style="9" customWidth="1"/>
    <col min="3589" max="3589" width="19.85546875" style="9" customWidth="1"/>
    <col min="3590" max="3590" width="9.28515625" style="9" customWidth="1"/>
    <col min="3591" max="3591" width="10" style="9" customWidth="1"/>
    <col min="3592" max="3592" width="8.42578125" style="9" customWidth="1"/>
    <col min="3593" max="3593" width="12.28515625" style="9" customWidth="1"/>
    <col min="3594" max="3594" width="7.5703125" style="9" customWidth="1"/>
    <col min="3595" max="3595" width="7.85546875" style="9" customWidth="1"/>
    <col min="3596" max="3596" width="8.28515625" style="9" customWidth="1"/>
    <col min="3597" max="3597" width="9.140625" style="9"/>
    <col min="3598" max="3600" width="7.5703125" style="9" customWidth="1"/>
    <col min="3601" max="3601" width="10.28515625" style="9" customWidth="1"/>
    <col min="3602" max="3602" width="10.5703125" style="9" customWidth="1"/>
    <col min="3603" max="3603" width="11.140625" style="9" customWidth="1"/>
    <col min="3604" max="3604" width="10.42578125" style="9" customWidth="1"/>
    <col min="3605" max="3614" width="11" style="9" customWidth="1"/>
    <col min="3615" max="3615" width="9.140625" style="9" customWidth="1"/>
    <col min="3616" max="3616" width="6.85546875" style="9" customWidth="1"/>
    <col min="3617" max="3617" width="15" style="9" bestFit="1" customWidth="1"/>
    <col min="3618" max="3842" width="9.140625" style="9"/>
    <col min="3843" max="3843" width="4" style="9" customWidth="1"/>
    <col min="3844" max="3844" width="24.42578125" style="9" customWidth="1"/>
    <col min="3845" max="3845" width="19.85546875" style="9" customWidth="1"/>
    <col min="3846" max="3846" width="9.28515625" style="9" customWidth="1"/>
    <col min="3847" max="3847" width="10" style="9" customWidth="1"/>
    <col min="3848" max="3848" width="8.42578125" style="9" customWidth="1"/>
    <col min="3849" max="3849" width="12.28515625" style="9" customWidth="1"/>
    <col min="3850" max="3850" width="7.5703125" style="9" customWidth="1"/>
    <col min="3851" max="3851" width="7.85546875" style="9" customWidth="1"/>
    <col min="3852" max="3852" width="8.28515625" style="9" customWidth="1"/>
    <col min="3853" max="3853" width="9.140625" style="9"/>
    <col min="3854" max="3856" width="7.5703125" style="9" customWidth="1"/>
    <col min="3857" max="3857" width="10.28515625" style="9" customWidth="1"/>
    <col min="3858" max="3858" width="10.5703125" style="9" customWidth="1"/>
    <col min="3859" max="3859" width="11.140625" style="9" customWidth="1"/>
    <col min="3860" max="3860" width="10.42578125" style="9" customWidth="1"/>
    <col min="3861" max="3870" width="11" style="9" customWidth="1"/>
    <col min="3871" max="3871" width="9.140625" style="9" customWidth="1"/>
    <col min="3872" max="3872" width="6.85546875" style="9" customWidth="1"/>
    <col min="3873" max="3873" width="15" style="9" bestFit="1" customWidth="1"/>
    <col min="3874" max="4098" width="9.140625" style="9"/>
    <col min="4099" max="4099" width="4" style="9" customWidth="1"/>
    <col min="4100" max="4100" width="24.42578125" style="9" customWidth="1"/>
    <col min="4101" max="4101" width="19.85546875" style="9" customWidth="1"/>
    <col min="4102" max="4102" width="9.28515625" style="9" customWidth="1"/>
    <col min="4103" max="4103" width="10" style="9" customWidth="1"/>
    <col min="4104" max="4104" width="8.42578125" style="9" customWidth="1"/>
    <col min="4105" max="4105" width="12.28515625" style="9" customWidth="1"/>
    <col min="4106" max="4106" width="7.5703125" style="9" customWidth="1"/>
    <col min="4107" max="4107" width="7.85546875" style="9" customWidth="1"/>
    <col min="4108" max="4108" width="8.28515625" style="9" customWidth="1"/>
    <col min="4109" max="4109" width="9.140625" style="9"/>
    <col min="4110" max="4112" width="7.5703125" style="9" customWidth="1"/>
    <col min="4113" max="4113" width="10.28515625" style="9" customWidth="1"/>
    <col min="4114" max="4114" width="10.5703125" style="9" customWidth="1"/>
    <col min="4115" max="4115" width="11.140625" style="9" customWidth="1"/>
    <col min="4116" max="4116" width="10.42578125" style="9" customWidth="1"/>
    <col min="4117" max="4126" width="11" style="9" customWidth="1"/>
    <col min="4127" max="4127" width="9.140625" style="9" customWidth="1"/>
    <col min="4128" max="4128" width="6.85546875" style="9" customWidth="1"/>
    <col min="4129" max="4129" width="15" style="9" bestFit="1" customWidth="1"/>
    <col min="4130" max="4354" width="9.140625" style="9"/>
    <col min="4355" max="4355" width="4" style="9" customWidth="1"/>
    <col min="4356" max="4356" width="24.42578125" style="9" customWidth="1"/>
    <col min="4357" max="4357" width="19.85546875" style="9" customWidth="1"/>
    <col min="4358" max="4358" width="9.28515625" style="9" customWidth="1"/>
    <col min="4359" max="4359" width="10" style="9" customWidth="1"/>
    <col min="4360" max="4360" width="8.42578125" style="9" customWidth="1"/>
    <col min="4361" max="4361" width="12.28515625" style="9" customWidth="1"/>
    <col min="4362" max="4362" width="7.5703125" style="9" customWidth="1"/>
    <col min="4363" max="4363" width="7.85546875" style="9" customWidth="1"/>
    <col min="4364" max="4364" width="8.28515625" style="9" customWidth="1"/>
    <col min="4365" max="4365" width="9.140625" style="9"/>
    <col min="4366" max="4368" width="7.5703125" style="9" customWidth="1"/>
    <col min="4369" max="4369" width="10.28515625" style="9" customWidth="1"/>
    <col min="4370" max="4370" width="10.5703125" style="9" customWidth="1"/>
    <col min="4371" max="4371" width="11.140625" style="9" customWidth="1"/>
    <col min="4372" max="4372" width="10.42578125" style="9" customWidth="1"/>
    <col min="4373" max="4382" width="11" style="9" customWidth="1"/>
    <col min="4383" max="4383" width="9.140625" style="9" customWidth="1"/>
    <col min="4384" max="4384" width="6.85546875" style="9" customWidth="1"/>
    <col min="4385" max="4385" width="15" style="9" bestFit="1" customWidth="1"/>
    <col min="4386" max="4610" width="9.140625" style="9"/>
    <col min="4611" max="4611" width="4" style="9" customWidth="1"/>
    <col min="4612" max="4612" width="24.42578125" style="9" customWidth="1"/>
    <col min="4613" max="4613" width="19.85546875" style="9" customWidth="1"/>
    <col min="4614" max="4614" width="9.28515625" style="9" customWidth="1"/>
    <col min="4615" max="4615" width="10" style="9" customWidth="1"/>
    <col min="4616" max="4616" width="8.42578125" style="9" customWidth="1"/>
    <col min="4617" max="4617" width="12.28515625" style="9" customWidth="1"/>
    <col min="4618" max="4618" width="7.5703125" style="9" customWidth="1"/>
    <col min="4619" max="4619" width="7.85546875" style="9" customWidth="1"/>
    <col min="4620" max="4620" width="8.28515625" style="9" customWidth="1"/>
    <col min="4621" max="4621" width="9.140625" style="9"/>
    <col min="4622" max="4624" width="7.5703125" style="9" customWidth="1"/>
    <col min="4625" max="4625" width="10.28515625" style="9" customWidth="1"/>
    <col min="4626" max="4626" width="10.5703125" style="9" customWidth="1"/>
    <col min="4627" max="4627" width="11.140625" style="9" customWidth="1"/>
    <col min="4628" max="4628" width="10.42578125" style="9" customWidth="1"/>
    <col min="4629" max="4638" width="11" style="9" customWidth="1"/>
    <col min="4639" max="4639" width="9.140625" style="9" customWidth="1"/>
    <col min="4640" max="4640" width="6.85546875" style="9" customWidth="1"/>
    <col min="4641" max="4641" width="15" style="9" bestFit="1" customWidth="1"/>
    <col min="4642" max="4866" width="9.140625" style="9"/>
    <col min="4867" max="4867" width="4" style="9" customWidth="1"/>
    <col min="4868" max="4868" width="24.42578125" style="9" customWidth="1"/>
    <col min="4869" max="4869" width="19.85546875" style="9" customWidth="1"/>
    <col min="4870" max="4870" width="9.28515625" style="9" customWidth="1"/>
    <col min="4871" max="4871" width="10" style="9" customWidth="1"/>
    <col min="4872" max="4872" width="8.42578125" style="9" customWidth="1"/>
    <col min="4873" max="4873" width="12.28515625" style="9" customWidth="1"/>
    <col min="4874" max="4874" width="7.5703125" style="9" customWidth="1"/>
    <col min="4875" max="4875" width="7.85546875" style="9" customWidth="1"/>
    <col min="4876" max="4876" width="8.28515625" style="9" customWidth="1"/>
    <col min="4877" max="4877" width="9.140625" style="9"/>
    <col min="4878" max="4880" width="7.5703125" style="9" customWidth="1"/>
    <col min="4881" max="4881" width="10.28515625" style="9" customWidth="1"/>
    <col min="4882" max="4882" width="10.5703125" style="9" customWidth="1"/>
    <col min="4883" max="4883" width="11.140625" style="9" customWidth="1"/>
    <col min="4884" max="4884" width="10.42578125" style="9" customWidth="1"/>
    <col min="4885" max="4894" width="11" style="9" customWidth="1"/>
    <col min="4895" max="4895" width="9.140625" style="9" customWidth="1"/>
    <col min="4896" max="4896" width="6.85546875" style="9" customWidth="1"/>
    <col min="4897" max="4897" width="15" style="9" bestFit="1" customWidth="1"/>
    <col min="4898" max="5122" width="9.140625" style="9"/>
    <col min="5123" max="5123" width="4" style="9" customWidth="1"/>
    <col min="5124" max="5124" width="24.42578125" style="9" customWidth="1"/>
    <col min="5125" max="5125" width="19.85546875" style="9" customWidth="1"/>
    <col min="5126" max="5126" width="9.28515625" style="9" customWidth="1"/>
    <col min="5127" max="5127" width="10" style="9" customWidth="1"/>
    <col min="5128" max="5128" width="8.42578125" style="9" customWidth="1"/>
    <col min="5129" max="5129" width="12.28515625" style="9" customWidth="1"/>
    <col min="5130" max="5130" width="7.5703125" style="9" customWidth="1"/>
    <col min="5131" max="5131" width="7.85546875" style="9" customWidth="1"/>
    <col min="5132" max="5132" width="8.28515625" style="9" customWidth="1"/>
    <col min="5133" max="5133" width="9.140625" style="9"/>
    <col min="5134" max="5136" width="7.5703125" style="9" customWidth="1"/>
    <col min="5137" max="5137" width="10.28515625" style="9" customWidth="1"/>
    <col min="5138" max="5138" width="10.5703125" style="9" customWidth="1"/>
    <col min="5139" max="5139" width="11.140625" style="9" customWidth="1"/>
    <col min="5140" max="5140" width="10.42578125" style="9" customWidth="1"/>
    <col min="5141" max="5150" width="11" style="9" customWidth="1"/>
    <col min="5151" max="5151" width="9.140625" style="9" customWidth="1"/>
    <col min="5152" max="5152" width="6.85546875" style="9" customWidth="1"/>
    <col min="5153" max="5153" width="15" style="9" bestFit="1" customWidth="1"/>
    <col min="5154" max="5378" width="9.140625" style="9"/>
    <col min="5379" max="5379" width="4" style="9" customWidth="1"/>
    <col min="5380" max="5380" width="24.42578125" style="9" customWidth="1"/>
    <col min="5381" max="5381" width="19.85546875" style="9" customWidth="1"/>
    <col min="5382" max="5382" width="9.28515625" style="9" customWidth="1"/>
    <col min="5383" max="5383" width="10" style="9" customWidth="1"/>
    <col min="5384" max="5384" width="8.42578125" style="9" customWidth="1"/>
    <col min="5385" max="5385" width="12.28515625" style="9" customWidth="1"/>
    <col min="5386" max="5386" width="7.5703125" style="9" customWidth="1"/>
    <col min="5387" max="5387" width="7.85546875" style="9" customWidth="1"/>
    <col min="5388" max="5388" width="8.28515625" style="9" customWidth="1"/>
    <col min="5389" max="5389" width="9.140625" style="9"/>
    <col min="5390" max="5392" width="7.5703125" style="9" customWidth="1"/>
    <col min="5393" max="5393" width="10.28515625" style="9" customWidth="1"/>
    <col min="5394" max="5394" width="10.5703125" style="9" customWidth="1"/>
    <col min="5395" max="5395" width="11.140625" style="9" customWidth="1"/>
    <col min="5396" max="5396" width="10.42578125" style="9" customWidth="1"/>
    <col min="5397" max="5406" width="11" style="9" customWidth="1"/>
    <col min="5407" max="5407" width="9.140625" style="9" customWidth="1"/>
    <col min="5408" max="5408" width="6.85546875" style="9" customWidth="1"/>
    <col min="5409" max="5409" width="15" style="9" bestFit="1" customWidth="1"/>
    <col min="5410" max="5634" width="9.140625" style="9"/>
    <col min="5635" max="5635" width="4" style="9" customWidth="1"/>
    <col min="5636" max="5636" width="24.42578125" style="9" customWidth="1"/>
    <col min="5637" max="5637" width="19.85546875" style="9" customWidth="1"/>
    <col min="5638" max="5638" width="9.28515625" style="9" customWidth="1"/>
    <col min="5639" max="5639" width="10" style="9" customWidth="1"/>
    <col min="5640" max="5640" width="8.42578125" style="9" customWidth="1"/>
    <col min="5641" max="5641" width="12.28515625" style="9" customWidth="1"/>
    <col min="5642" max="5642" width="7.5703125" style="9" customWidth="1"/>
    <col min="5643" max="5643" width="7.85546875" style="9" customWidth="1"/>
    <col min="5644" max="5644" width="8.28515625" style="9" customWidth="1"/>
    <col min="5645" max="5645" width="9.140625" style="9"/>
    <col min="5646" max="5648" width="7.5703125" style="9" customWidth="1"/>
    <col min="5649" max="5649" width="10.28515625" style="9" customWidth="1"/>
    <col min="5650" max="5650" width="10.5703125" style="9" customWidth="1"/>
    <col min="5651" max="5651" width="11.140625" style="9" customWidth="1"/>
    <col min="5652" max="5652" width="10.42578125" style="9" customWidth="1"/>
    <col min="5653" max="5662" width="11" style="9" customWidth="1"/>
    <col min="5663" max="5663" width="9.140625" style="9" customWidth="1"/>
    <col min="5664" max="5664" width="6.85546875" style="9" customWidth="1"/>
    <col min="5665" max="5665" width="15" style="9" bestFit="1" customWidth="1"/>
    <col min="5666" max="5890" width="9.140625" style="9"/>
    <col min="5891" max="5891" width="4" style="9" customWidth="1"/>
    <col min="5892" max="5892" width="24.42578125" style="9" customWidth="1"/>
    <col min="5893" max="5893" width="19.85546875" style="9" customWidth="1"/>
    <col min="5894" max="5894" width="9.28515625" style="9" customWidth="1"/>
    <col min="5895" max="5895" width="10" style="9" customWidth="1"/>
    <col min="5896" max="5896" width="8.42578125" style="9" customWidth="1"/>
    <col min="5897" max="5897" width="12.28515625" style="9" customWidth="1"/>
    <col min="5898" max="5898" width="7.5703125" style="9" customWidth="1"/>
    <col min="5899" max="5899" width="7.85546875" style="9" customWidth="1"/>
    <col min="5900" max="5900" width="8.28515625" style="9" customWidth="1"/>
    <col min="5901" max="5901" width="9.140625" style="9"/>
    <col min="5902" max="5904" width="7.5703125" style="9" customWidth="1"/>
    <col min="5905" max="5905" width="10.28515625" style="9" customWidth="1"/>
    <col min="5906" max="5906" width="10.5703125" style="9" customWidth="1"/>
    <col min="5907" max="5907" width="11.140625" style="9" customWidth="1"/>
    <col min="5908" max="5908" width="10.42578125" style="9" customWidth="1"/>
    <col min="5909" max="5918" width="11" style="9" customWidth="1"/>
    <col min="5919" max="5919" width="9.140625" style="9" customWidth="1"/>
    <col min="5920" max="5920" width="6.85546875" style="9" customWidth="1"/>
    <col min="5921" max="5921" width="15" style="9" bestFit="1" customWidth="1"/>
    <col min="5922" max="6146" width="9.140625" style="9"/>
    <col min="6147" max="6147" width="4" style="9" customWidth="1"/>
    <col min="6148" max="6148" width="24.42578125" style="9" customWidth="1"/>
    <col min="6149" max="6149" width="19.85546875" style="9" customWidth="1"/>
    <col min="6150" max="6150" width="9.28515625" style="9" customWidth="1"/>
    <col min="6151" max="6151" width="10" style="9" customWidth="1"/>
    <col min="6152" max="6152" width="8.42578125" style="9" customWidth="1"/>
    <col min="6153" max="6153" width="12.28515625" style="9" customWidth="1"/>
    <col min="6154" max="6154" width="7.5703125" style="9" customWidth="1"/>
    <col min="6155" max="6155" width="7.85546875" style="9" customWidth="1"/>
    <col min="6156" max="6156" width="8.28515625" style="9" customWidth="1"/>
    <col min="6157" max="6157" width="9.140625" style="9"/>
    <col min="6158" max="6160" width="7.5703125" style="9" customWidth="1"/>
    <col min="6161" max="6161" width="10.28515625" style="9" customWidth="1"/>
    <col min="6162" max="6162" width="10.5703125" style="9" customWidth="1"/>
    <col min="6163" max="6163" width="11.140625" style="9" customWidth="1"/>
    <col min="6164" max="6164" width="10.42578125" style="9" customWidth="1"/>
    <col min="6165" max="6174" width="11" style="9" customWidth="1"/>
    <col min="6175" max="6175" width="9.140625" style="9" customWidth="1"/>
    <col min="6176" max="6176" width="6.85546875" style="9" customWidth="1"/>
    <col min="6177" max="6177" width="15" style="9" bestFit="1" customWidth="1"/>
    <col min="6178" max="6402" width="9.140625" style="9"/>
    <col min="6403" max="6403" width="4" style="9" customWidth="1"/>
    <col min="6404" max="6404" width="24.42578125" style="9" customWidth="1"/>
    <col min="6405" max="6405" width="19.85546875" style="9" customWidth="1"/>
    <col min="6406" max="6406" width="9.28515625" style="9" customWidth="1"/>
    <col min="6407" max="6407" width="10" style="9" customWidth="1"/>
    <col min="6408" max="6408" width="8.42578125" style="9" customWidth="1"/>
    <col min="6409" max="6409" width="12.28515625" style="9" customWidth="1"/>
    <col min="6410" max="6410" width="7.5703125" style="9" customWidth="1"/>
    <col min="6411" max="6411" width="7.85546875" style="9" customWidth="1"/>
    <col min="6412" max="6412" width="8.28515625" style="9" customWidth="1"/>
    <col min="6413" max="6413" width="9.140625" style="9"/>
    <col min="6414" max="6416" width="7.5703125" style="9" customWidth="1"/>
    <col min="6417" max="6417" width="10.28515625" style="9" customWidth="1"/>
    <col min="6418" max="6418" width="10.5703125" style="9" customWidth="1"/>
    <col min="6419" max="6419" width="11.140625" style="9" customWidth="1"/>
    <col min="6420" max="6420" width="10.42578125" style="9" customWidth="1"/>
    <col min="6421" max="6430" width="11" style="9" customWidth="1"/>
    <col min="6431" max="6431" width="9.140625" style="9" customWidth="1"/>
    <col min="6432" max="6432" width="6.85546875" style="9" customWidth="1"/>
    <col min="6433" max="6433" width="15" style="9" bestFit="1" customWidth="1"/>
    <col min="6434" max="6658" width="9.140625" style="9"/>
    <col min="6659" max="6659" width="4" style="9" customWidth="1"/>
    <col min="6660" max="6660" width="24.42578125" style="9" customWidth="1"/>
    <col min="6661" max="6661" width="19.85546875" style="9" customWidth="1"/>
    <col min="6662" max="6662" width="9.28515625" style="9" customWidth="1"/>
    <col min="6663" max="6663" width="10" style="9" customWidth="1"/>
    <col min="6664" max="6664" width="8.42578125" style="9" customWidth="1"/>
    <col min="6665" max="6665" width="12.28515625" style="9" customWidth="1"/>
    <col min="6666" max="6666" width="7.5703125" style="9" customWidth="1"/>
    <col min="6667" max="6667" width="7.85546875" style="9" customWidth="1"/>
    <col min="6668" max="6668" width="8.28515625" style="9" customWidth="1"/>
    <col min="6669" max="6669" width="9.140625" style="9"/>
    <col min="6670" max="6672" width="7.5703125" style="9" customWidth="1"/>
    <col min="6673" max="6673" width="10.28515625" style="9" customWidth="1"/>
    <col min="6674" max="6674" width="10.5703125" style="9" customWidth="1"/>
    <col min="6675" max="6675" width="11.140625" style="9" customWidth="1"/>
    <col min="6676" max="6676" width="10.42578125" style="9" customWidth="1"/>
    <col min="6677" max="6686" width="11" style="9" customWidth="1"/>
    <col min="6687" max="6687" width="9.140625" style="9" customWidth="1"/>
    <col min="6688" max="6688" width="6.85546875" style="9" customWidth="1"/>
    <col min="6689" max="6689" width="15" style="9" bestFit="1" customWidth="1"/>
    <col min="6690" max="6914" width="9.140625" style="9"/>
    <col min="6915" max="6915" width="4" style="9" customWidth="1"/>
    <col min="6916" max="6916" width="24.42578125" style="9" customWidth="1"/>
    <col min="6917" max="6917" width="19.85546875" style="9" customWidth="1"/>
    <col min="6918" max="6918" width="9.28515625" style="9" customWidth="1"/>
    <col min="6919" max="6919" width="10" style="9" customWidth="1"/>
    <col min="6920" max="6920" width="8.42578125" style="9" customWidth="1"/>
    <col min="6921" max="6921" width="12.28515625" style="9" customWidth="1"/>
    <col min="6922" max="6922" width="7.5703125" style="9" customWidth="1"/>
    <col min="6923" max="6923" width="7.85546875" style="9" customWidth="1"/>
    <col min="6924" max="6924" width="8.28515625" style="9" customWidth="1"/>
    <col min="6925" max="6925" width="9.140625" style="9"/>
    <col min="6926" max="6928" width="7.5703125" style="9" customWidth="1"/>
    <col min="6929" max="6929" width="10.28515625" style="9" customWidth="1"/>
    <col min="6930" max="6930" width="10.5703125" style="9" customWidth="1"/>
    <col min="6931" max="6931" width="11.140625" style="9" customWidth="1"/>
    <col min="6932" max="6932" width="10.42578125" style="9" customWidth="1"/>
    <col min="6933" max="6942" width="11" style="9" customWidth="1"/>
    <col min="6943" max="6943" width="9.140625" style="9" customWidth="1"/>
    <col min="6944" max="6944" width="6.85546875" style="9" customWidth="1"/>
    <col min="6945" max="6945" width="15" style="9" bestFit="1" customWidth="1"/>
    <col min="6946" max="7170" width="9.140625" style="9"/>
    <col min="7171" max="7171" width="4" style="9" customWidth="1"/>
    <col min="7172" max="7172" width="24.42578125" style="9" customWidth="1"/>
    <col min="7173" max="7173" width="19.85546875" style="9" customWidth="1"/>
    <col min="7174" max="7174" width="9.28515625" style="9" customWidth="1"/>
    <col min="7175" max="7175" width="10" style="9" customWidth="1"/>
    <col min="7176" max="7176" width="8.42578125" style="9" customWidth="1"/>
    <col min="7177" max="7177" width="12.28515625" style="9" customWidth="1"/>
    <col min="7178" max="7178" width="7.5703125" style="9" customWidth="1"/>
    <col min="7179" max="7179" width="7.85546875" style="9" customWidth="1"/>
    <col min="7180" max="7180" width="8.28515625" style="9" customWidth="1"/>
    <col min="7181" max="7181" width="9.140625" style="9"/>
    <col min="7182" max="7184" width="7.5703125" style="9" customWidth="1"/>
    <col min="7185" max="7185" width="10.28515625" style="9" customWidth="1"/>
    <col min="7186" max="7186" width="10.5703125" style="9" customWidth="1"/>
    <col min="7187" max="7187" width="11.140625" style="9" customWidth="1"/>
    <col min="7188" max="7188" width="10.42578125" style="9" customWidth="1"/>
    <col min="7189" max="7198" width="11" style="9" customWidth="1"/>
    <col min="7199" max="7199" width="9.140625" style="9" customWidth="1"/>
    <col min="7200" max="7200" width="6.85546875" style="9" customWidth="1"/>
    <col min="7201" max="7201" width="15" style="9" bestFit="1" customWidth="1"/>
    <col min="7202" max="7426" width="9.140625" style="9"/>
    <col min="7427" max="7427" width="4" style="9" customWidth="1"/>
    <col min="7428" max="7428" width="24.42578125" style="9" customWidth="1"/>
    <col min="7429" max="7429" width="19.85546875" style="9" customWidth="1"/>
    <col min="7430" max="7430" width="9.28515625" style="9" customWidth="1"/>
    <col min="7431" max="7431" width="10" style="9" customWidth="1"/>
    <col min="7432" max="7432" width="8.42578125" style="9" customWidth="1"/>
    <col min="7433" max="7433" width="12.28515625" style="9" customWidth="1"/>
    <col min="7434" max="7434" width="7.5703125" style="9" customWidth="1"/>
    <col min="7435" max="7435" width="7.85546875" style="9" customWidth="1"/>
    <col min="7436" max="7436" width="8.28515625" style="9" customWidth="1"/>
    <col min="7437" max="7437" width="9.140625" style="9"/>
    <col min="7438" max="7440" width="7.5703125" style="9" customWidth="1"/>
    <col min="7441" max="7441" width="10.28515625" style="9" customWidth="1"/>
    <col min="7442" max="7442" width="10.5703125" style="9" customWidth="1"/>
    <col min="7443" max="7443" width="11.140625" style="9" customWidth="1"/>
    <col min="7444" max="7444" width="10.42578125" style="9" customWidth="1"/>
    <col min="7445" max="7454" width="11" style="9" customWidth="1"/>
    <col min="7455" max="7455" width="9.140625" style="9" customWidth="1"/>
    <col min="7456" max="7456" width="6.85546875" style="9" customWidth="1"/>
    <col min="7457" max="7457" width="15" style="9" bestFit="1" customWidth="1"/>
    <col min="7458" max="7682" width="9.140625" style="9"/>
    <col min="7683" max="7683" width="4" style="9" customWidth="1"/>
    <col min="7684" max="7684" width="24.42578125" style="9" customWidth="1"/>
    <col min="7685" max="7685" width="19.85546875" style="9" customWidth="1"/>
    <col min="7686" max="7686" width="9.28515625" style="9" customWidth="1"/>
    <col min="7687" max="7687" width="10" style="9" customWidth="1"/>
    <col min="7688" max="7688" width="8.42578125" style="9" customWidth="1"/>
    <col min="7689" max="7689" width="12.28515625" style="9" customWidth="1"/>
    <col min="7690" max="7690" width="7.5703125" style="9" customWidth="1"/>
    <col min="7691" max="7691" width="7.85546875" style="9" customWidth="1"/>
    <col min="7692" max="7692" width="8.28515625" style="9" customWidth="1"/>
    <col min="7693" max="7693" width="9.140625" style="9"/>
    <col min="7694" max="7696" width="7.5703125" style="9" customWidth="1"/>
    <col min="7697" max="7697" width="10.28515625" style="9" customWidth="1"/>
    <col min="7698" max="7698" width="10.5703125" style="9" customWidth="1"/>
    <col min="7699" max="7699" width="11.140625" style="9" customWidth="1"/>
    <col min="7700" max="7700" width="10.42578125" style="9" customWidth="1"/>
    <col min="7701" max="7710" width="11" style="9" customWidth="1"/>
    <col min="7711" max="7711" width="9.140625" style="9" customWidth="1"/>
    <col min="7712" max="7712" width="6.85546875" style="9" customWidth="1"/>
    <col min="7713" max="7713" width="15" style="9" bestFit="1" customWidth="1"/>
    <col min="7714" max="7938" width="9.140625" style="9"/>
    <col min="7939" max="7939" width="4" style="9" customWidth="1"/>
    <col min="7940" max="7940" width="24.42578125" style="9" customWidth="1"/>
    <col min="7941" max="7941" width="19.85546875" style="9" customWidth="1"/>
    <col min="7942" max="7942" width="9.28515625" style="9" customWidth="1"/>
    <col min="7943" max="7943" width="10" style="9" customWidth="1"/>
    <col min="7944" max="7944" width="8.42578125" style="9" customWidth="1"/>
    <col min="7945" max="7945" width="12.28515625" style="9" customWidth="1"/>
    <col min="7946" max="7946" width="7.5703125" style="9" customWidth="1"/>
    <col min="7947" max="7947" width="7.85546875" style="9" customWidth="1"/>
    <col min="7948" max="7948" width="8.28515625" style="9" customWidth="1"/>
    <col min="7949" max="7949" width="9.140625" style="9"/>
    <col min="7950" max="7952" width="7.5703125" style="9" customWidth="1"/>
    <col min="7953" max="7953" width="10.28515625" style="9" customWidth="1"/>
    <col min="7954" max="7954" width="10.5703125" style="9" customWidth="1"/>
    <col min="7955" max="7955" width="11.140625" style="9" customWidth="1"/>
    <col min="7956" max="7956" width="10.42578125" style="9" customWidth="1"/>
    <col min="7957" max="7966" width="11" style="9" customWidth="1"/>
    <col min="7967" max="7967" width="9.140625" style="9" customWidth="1"/>
    <col min="7968" max="7968" width="6.85546875" style="9" customWidth="1"/>
    <col min="7969" max="7969" width="15" style="9" bestFit="1" customWidth="1"/>
    <col min="7970" max="8194" width="9.140625" style="9"/>
    <col min="8195" max="8195" width="4" style="9" customWidth="1"/>
    <col min="8196" max="8196" width="24.42578125" style="9" customWidth="1"/>
    <col min="8197" max="8197" width="19.85546875" style="9" customWidth="1"/>
    <col min="8198" max="8198" width="9.28515625" style="9" customWidth="1"/>
    <col min="8199" max="8199" width="10" style="9" customWidth="1"/>
    <col min="8200" max="8200" width="8.42578125" style="9" customWidth="1"/>
    <col min="8201" max="8201" width="12.28515625" style="9" customWidth="1"/>
    <col min="8202" max="8202" width="7.5703125" style="9" customWidth="1"/>
    <col min="8203" max="8203" width="7.85546875" style="9" customWidth="1"/>
    <col min="8204" max="8204" width="8.28515625" style="9" customWidth="1"/>
    <col min="8205" max="8205" width="9.140625" style="9"/>
    <col min="8206" max="8208" width="7.5703125" style="9" customWidth="1"/>
    <col min="8209" max="8209" width="10.28515625" style="9" customWidth="1"/>
    <col min="8210" max="8210" width="10.5703125" style="9" customWidth="1"/>
    <col min="8211" max="8211" width="11.140625" style="9" customWidth="1"/>
    <col min="8212" max="8212" width="10.42578125" style="9" customWidth="1"/>
    <col min="8213" max="8222" width="11" style="9" customWidth="1"/>
    <col min="8223" max="8223" width="9.140625" style="9" customWidth="1"/>
    <col min="8224" max="8224" width="6.85546875" style="9" customWidth="1"/>
    <col min="8225" max="8225" width="15" style="9" bestFit="1" customWidth="1"/>
    <col min="8226" max="8450" width="9.140625" style="9"/>
    <col min="8451" max="8451" width="4" style="9" customWidth="1"/>
    <col min="8452" max="8452" width="24.42578125" style="9" customWidth="1"/>
    <col min="8453" max="8453" width="19.85546875" style="9" customWidth="1"/>
    <col min="8454" max="8454" width="9.28515625" style="9" customWidth="1"/>
    <col min="8455" max="8455" width="10" style="9" customWidth="1"/>
    <col min="8456" max="8456" width="8.42578125" style="9" customWidth="1"/>
    <col min="8457" max="8457" width="12.28515625" style="9" customWidth="1"/>
    <col min="8458" max="8458" width="7.5703125" style="9" customWidth="1"/>
    <col min="8459" max="8459" width="7.85546875" style="9" customWidth="1"/>
    <col min="8460" max="8460" width="8.28515625" style="9" customWidth="1"/>
    <col min="8461" max="8461" width="9.140625" style="9"/>
    <col min="8462" max="8464" width="7.5703125" style="9" customWidth="1"/>
    <col min="8465" max="8465" width="10.28515625" style="9" customWidth="1"/>
    <col min="8466" max="8466" width="10.5703125" style="9" customWidth="1"/>
    <col min="8467" max="8467" width="11.140625" style="9" customWidth="1"/>
    <col min="8468" max="8468" width="10.42578125" style="9" customWidth="1"/>
    <col min="8469" max="8478" width="11" style="9" customWidth="1"/>
    <col min="8479" max="8479" width="9.140625" style="9" customWidth="1"/>
    <col min="8480" max="8480" width="6.85546875" style="9" customWidth="1"/>
    <col min="8481" max="8481" width="15" style="9" bestFit="1" customWidth="1"/>
    <col min="8482" max="8706" width="9.140625" style="9"/>
    <col min="8707" max="8707" width="4" style="9" customWidth="1"/>
    <col min="8708" max="8708" width="24.42578125" style="9" customWidth="1"/>
    <col min="8709" max="8709" width="19.85546875" style="9" customWidth="1"/>
    <col min="8710" max="8710" width="9.28515625" style="9" customWidth="1"/>
    <col min="8711" max="8711" width="10" style="9" customWidth="1"/>
    <col min="8712" max="8712" width="8.42578125" style="9" customWidth="1"/>
    <col min="8713" max="8713" width="12.28515625" style="9" customWidth="1"/>
    <col min="8714" max="8714" width="7.5703125" style="9" customWidth="1"/>
    <col min="8715" max="8715" width="7.85546875" style="9" customWidth="1"/>
    <col min="8716" max="8716" width="8.28515625" style="9" customWidth="1"/>
    <col min="8717" max="8717" width="9.140625" style="9"/>
    <col min="8718" max="8720" width="7.5703125" style="9" customWidth="1"/>
    <col min="8721" max="8721" width="10.28515625" style="9" customWidth="1"/>
    <col min="8722" max="8722" width="10.5703125" style="9" customWidth="1"/>
    <col min="8723" max="8723" width="11.140625" style="9" customWidth="1"/>
    <col min="8724" max="8724" width="10.42578125" style="9" customWidth="1"/>
    <col min="8725" max="8734" width="11" style="9" customWidth="1"/>
    <col min="8735" max="8735" width="9.140625" style="9" customWidth="1"/>
    <col min="8736" max="8736" width="6.85546875" style="9" customWidth="1"/>
    <col min="8737" max="8737" width="15" style="9" bestFit="1" customWidth="1"/>
    <col min="8738" max="8962" width="9.140625" style="9"/>
    <col min="8963" max="8963" width="4" style="9" customWidth="1"/>
    <col min="8964" max="8964" width="24.42578125" style="9" customWidth="1"/>
    <col min="8965" max="8965" width="19.85546875" style="9" customWidth="1"/>
    <col min="8966" max="8966" width="9.28515625" style="9" customWidth="1"/>
    <col min="8967" max="8967" width="10" style="9" customWidth="1"/>
    <col min="8968" max="8968" width="8.42578125" style="9" customWidth="1"/>
    <col min="8969" max="8969" width="12.28515625" style="9" customWidth="1"/>
    <col min="8970" max="8970" width="7.5703125" style="9" customWidth="1"/>
    <col min="8971" max="8971" width="7.85546875" style="9" customWidth="1"/>
    <col min="8972" max="8972" width="8.28515625" style="9" customWidth="1"/>
    <col min="8973" max="8973" width="9.140625" style="9"/>
    <col min="8974" max="8976" width="7.5703125" style="9" customWidth="1"/>
    <col min="8977" max="8977" width="10.28515625" style="9" customWidth="1"/>
    <col min="8978" max="8978" width="10.5703125" style="9" customWidth="1"/>
    <col min="8979" max="8979" width="11.140625" style="9" customWidth="1"/>
    <col min="8980" max="8980" width="10.42578125" style="9" customWidth="1"/>
    <col min="8981" max="8990" width="11" style="9" customWidth="1"/>
    <col min="8991" max="8991" width="9.140625" style="9" customWidth="1"/>
    <col min="8992" max="8992" width="6.85546875" style="9" customWidth="1"/>
    <col min="8993" max="8993" width="15" style="9" bestFit="1" customWidth="1"/>
    <col min="8994" max="9218" width="9.140625" style="9"/>
    <col min="9219" max="9219" width="4" style="9" customWidth="1"/>
    <col min="9220" max="9220" width="24.42578125" style="9" customWidth="1"/>
    <col min="9221" max="9221" width="19.85546875" style="9" customWidth="1"/>
    <col min="9222" max="9222" width="9.28515625" style="9" customWidth="1"/>
    <col min="9223" max="9223" width="10" style="9" customWidth="1"/>
    <col min="9224" max="9224" width="8.42578125" style="9" customWidth="1"/>
    <col min="9225" max="9225" width="12.28515625" style="9" customWidth="1"/>
    <col min="9226" max="9226" width="7.5703125" style="9" customWidth="1"/>
    <col min="9227" max="9227" width="7.85546875" style="9" customWidth="1"/>
    <col min="9228" max="9228" width="8.28515625" style="9" customWidth="1"/>
    <col min="9229" max="9229" width="9.140625" style="9"/>
    <col min="9230" max="9232" width="7.5703125" style="9" customWidth="1"/>
    <col min="9233" max="9233" width="10.28515625" style="9" customWidth="1"/>
    <col min="9234" max="9234" width="10.5703125" style="9" customWidth="1"/>
    <col min="9235" max="9235" width="11.140625" style="9" customWidth="1"/>
    <col min="9236" max="9236" width="10.42578125" style="9" customWidth="1"/>
    <col min="9237" max="9246" width="11" style="9" customWidth="1"/>
    <col min="9247" max="9247" width="9.140625" style="9" customWidth="1"/>
    <col min="9248" max="9248" width="6.85546875" style="9" customWidth="1"/>
    <col min="9249" max="9249" width="15" style="9" bestFit="1" customWidth="1"/>
    <col min="9250" max="9474" width="9.140625" style="9"/>
    <col min="9475" max="9475" width="4" style="9" customWidth="1"/>
    <col min="9476" max="9476" width="24.42578125" style="9" customWidth="1"/>
    <col min="9477" max="9477" width="19.85546875" style="9" customWidth="1"/>
    <col min="9478" max="9478" width="9.28515625" style="9" customWidth="1"/>
    <col min="9479" max="9479" width="10" style="9" customWidth="1"/>
    <col min="9480" max="9480" width="8.42578125" style="9" customWidth="1"/>
    <col min="9481" max="9481" width="12.28515625" style="9" customWidth="1"/>
    <col min="9482" max="9482" width="7.5703125" style="9" customWidth="1"/>
    <col min="9483" max="9483" width="7.85546875" style="9" customWidth="1"/>
    <col min="9484" max="9484" width="8.28515625" style="9" customWidth="1"/>
    <col min="9485" max="9485" width="9.140625" style="9"/>
    <col min="9486" max="9488" width="7.5703125" style="9" customWidth="1"/>
    <col min="9489" max="9489" width="10.28515625" style="9" customWidth="1"/>
    <col min="9490" max="9490" width="10.5703125" style="9" customWidth="1"/>
    <col min="9491" max="9491" width="11.140625" style="9" customWidth="1"/>
    <col min="9492" max="9492" width="10.42578125" style="9" customWidth="1"/>
    <col min="9493" max="9502" width="11" style="9" customWidth="1"/>
    <col min="9503" max="9503" width="9.140625" style="9" customWidth="1"/>
    <col min="9504" max="9504" width="6.85546875" style="9" customWidth="1"/>
    <col min="9505" max="9505" width="15" style="9" bestFit="1" customWidth="1"/>
    <col min="9506" max="9730" width="9.140625" style="9"/>
    <col min="9731" max="9731" width="4" style="9" customWidth="1"/>
    <col min="9732" max="9732" width="24.42578125" style="9" customWidth="1"/>
    <col min="9733" max="9733" width="19.85546875" style="9" customWidth="1"/>
    <col min="9734" max="9734" width="9.28515625" style="9" customWidth="1"/>
    <col min="9735" max="9735" width="10" style="9" customWidth="1"/>
    <col min="9736" max="9736" width="8.42578125" style="9" customWidth="1"/>
    <col min="9737" max="9737" width="12.28515625" style="9" customWidth="1"/>
    <col min="9738" max="9738" width="7.5703125" style="9" customWidth="1"/>
    <col min="9739" max="9739" width="7.85546875" style="9" customWidth="1"/>
    <col min="9740" max="9740" width="8.28515625" style="9" customWidth="1"/>
    <col min="9741" max="9741" width="9.140625" style="9"/>
    <col min="9742" max="9744" width="7.5703125" style="9" customWidth="1"/>
    <col min="9745" max="9745" width="10.28515625" style="9" customWidth="1"/>
    <col min="9746" max="9746" width="10.5703125" style="9" customWidth="1"/>
    <col min="9747" max="9747" width="11.140625" style="9" customWidth="1"/>
    <col min="9748" max="9748" width="10.42578125" style="9" customWidth="1"/>
    <col min="9749" max="9758" width="11" style="9" customWidth="1"/>
    <col min="9759" max="9759" width="9.140625" style="9" customWidth="1"/>
    <col min="9760" max="9760" width="6.85546875" style="9" customWidth="1"/>
    <col min="9761" max="9761" width="15" style="9" bestFit="1" customWidth="1"/>
    <col min="9762" max="9986" width="9.140625" style="9"/>
    <col min="9987" max="9987" width="4" style="9" customWidth="1"/>
    <col min="9988" max="9988" width="24.42578125" style="9" customWidth="1"/>
    <col min="9989" max="9989" width="19.85546875" style="9" customWidth="1"/>
    <col min="9990" max="9990" width="9.28515625" style="9" customWidth="1"/>
    <col min="9991" max="9991" width="10" style="9" customWidth="1"/>
    <col min="9992" max="9992" width="8.42578125" style="9" customWidth="1"/>
    <col min="9993" max="9993" width="12.28515625" style="9" customWidth="1"/>
    <col min="9994" max="9994" width="7.5703125" style="9" customWidth="1"/>
    <col min="9995" max="9995" width="7.85546875" style="9" customWidth="1"/>
    <col min="9996" max="9996" width="8.28515625" style="9" customWidth="1"/>
    <col min="9997" max="9997" width="9.140625" style="9"/>
    <col min="9998" max="10000" width="7.5703125" style="9" customWidth="1"/>
    <col min="10001" max="10001" width="10.28515625" style="9" customWidth="1"/>
    <col min="10002" max="10002" width="10.5703125" style="9" customWidth="1"/>
    <col min="10003" max="10003" width="11.140625" style="9" customWidth="1"/>
    <col min="10004" max="10004" width="10.42578125" style="9" customWidth="1"/>
    <col min="10005" max="10014" width="11" style="9" customWidth="1"/>
    <col min="10015" max="10015" width="9.140625" style="9" customWidth="1"/>
    <col min="10016" max="10016" width="6.85546875" style="9" customWidth="1"/>
    <col min="10017" max="10017" width="15" style="9" bestFit="1" customWidth="1"/>
    <col min="10018" max="10242" width="9.140625" style="9"/>
    <col min="10243" max="10243" width="4" style="9" customWidth="1"/>
    <col min="10244" max="10244" width="24.42578125" style="9" customWidth="1"/>
    <col min="10245" max="10245" width="19.85546875" style="9" customWidth="1"/>
    <col min="10246" max="10246" width="9.28515625" style="9" customWidth="1"/>
    <col min="10247" max="10247" width="10" style="9" customWidth="1"/>
    <col min="10248" max="10248" width="8.42578125" style="9" customWidth="1"/>
    <col min="10249" max="10249" width="12.28515625" style="9" customWidth="1"/>
    <col min="10250" max="10250" width="7.5703125" style="9" customWidth="1"/>
    <col min="10251" max="10251" width="7.85546875" style="9" customWidth="1"/>
    <col min="10252" max="10252" width="8.28515625" style="9" customWidth="1"/>
    <col min="10253" max="10253" width="9.140625" style="9"/>
    <col min="10254" max="10256" width="7.5703125" style="9" customWidth="1"/>
    <col min="10257" max="10257" width="10.28515625" style="9" customWidth="1"/>
    <col min="10258" max="10258" width="10.5703125" style="9" customWidth="1"/>
    <col min="10259" max="10259" width="11.140625" style="9" customWidth="1"/>
    <col min="10260" max="10260" width="10.42578125" style="9" customWidth="1"/>
    <col min="10261" max="10270" width="11" style="9" customWidth="1"/>
    <col min="10271" max="10271" width="9.140625" style="9" customWidth="1"/>
    <col min="10272" max="10272" width="6.85546875" style="9" customWidth="1"/>
    <col min="10273" max="10273" width="15" style="9" bestFit="1" customWidth="1"/>
    <col min="10274" max="10498" width="9.140625" style="9"/>
    <col min="10499" max="10499" width="4" style="9" customWidth="1"/>
    <col min="10500" max="10500" width="24.42578125" style="9" customWidth="1"/>
    <col min="10501" max="10501" width="19.85546875" style="9" customWidth="1"/>
    <col min="10502" max="10502" width="9.28515625" style="9" customWidth="1"/>
    <col min="10503" max="10503" width="10" style="9" customWidth="1"/>
    <col min="10504" max="10504" width="8.42578125" style="9" customWidth="1"/>
    <col min="10505" max="10505" width="12.28515625" style="9" customWidth="1"/>
    <col min="10506" max="10506" width="7.5703125" style="9" customWidth="1"/>
    <col min="10507" max="10507" width="7.85546875" style="9" customWidth="1"/>
    <col min="10508" max="10508" width="8.28515625" style="9" customWidth="1"/>
    <col min="10509" max="10509" width="9.140625" style="9"/>
    <col min="10510" max="10512" width="7.5703125" style="9" customWidth="1"/>
    <col min="10513" max="10513" width="10.28515625" style="9" customWidth="1"/>
    <col min="10514" max="10514" width="10.5703125" style="9" customWidth="1"/>
    <col min="10515" max="10515" width="11.140625" style="9" customWidth="1"/>
    <col min="10516" max="10516" width="10.42578125" style="9" customWidth="1"/>
    <col min="10517" max="10526" width="11" style="9" customWidth="1"/>
    <col min="10527" max="10527" width="9.140625" style="9" customWidth="1"/>
    <col min="10528" max="10528" width="6.85546875" style="9" customWidth="1"/>
    <col min="10529" max="10529" width="15" style="9" bestFit="1" customWidth="1"/>
    <col min="10530" max="10754" width="9.140625" style="9"/>
    <col min="10755" max="10755" width="4" style="9" customWidth="1"/>
    <col min="10756" max="10756" width="24.42578125" style="9" customWidth="1"/>
    <col min="10757" max="10757" width="19.85546875" style="9" customWidth="1"/>
    <col min="10758" max="10758" width="9.28515625" style="9" customWidth="1"/>
    <col min="10759" max="10759" width="10" style="9" customWidth="1"/>
    <col min="10760" max="10760" width="8.42578125" style="9" customWidth="1"/>
    <col min="10761" max="10761" width="12.28515625" style="9" customWidth="1"/>
    <col min="10762" max="10762" width="7.5703125" style="9" customWidth="1"/>
    <col min="10763" max="10763" width="7.85546875" style="9" customWidth="1"/>
    <col min="10764" max="10764" width="8.28515625" style="9" customWidth="1"/>
    <col min="10765" max="10765" width="9.140625" style="9"/>
    <col min="10766" max="10768" width="7.5703125" style="9" customWidth="1"/>
    <col min="10769" max="10769" width="10.28515625" style="9" customWidth="1"/>
    <col min="10770" max="10770" width="10.5703125" style="9" customWidth="1"/>
    <col min="10771" max="10771" width="11.140625" style="9" customWidth="1"/>
    <col min="10772" max="10772" width="10.42578125" style="9" customWidth="1"/>
    <col min="10773" max="10782" width="11" style="9" customWidth="1"/>
    <col min="10783" max="10783" width="9.140625" style="9" customWidth="1"/>
    <col min="10784" max="10784" width="6.85546875" style="9" customWidth="1"/>
    <col min="10785" max="10785" width="15" style="9" bestFit="1" customWidth="1"/>
    <col min="10786" max="11010" width="9.140625" style="9"/>
    <col min="11011" max="11011" width="4" style="9" customWidth="1"/>
    <col min="11012" max="11012" width="24.42578125" style="9" customWidth="1"/>
    <col min="11013" max="11013" width="19.85546875" style="9" customWidth="1"/>
    <col min="11014" max="11014" width="9.28515625" style="9" customWidth="1"/>
    <col min="11015" max="11015" width="10" style="9" customWidth="1"/>
    <col min="11016" max="11016" width="8.42578125" style="9" customWidth="1"/>
    <col min="11017" max="11017" width="12.28515625" style="9" customWidth="1"/>
    <col min="11018" max="11018" width="7.5703125" style="9" customWidth="1"/>
    <col min="11019" max="11019" width="7.85546875" style="9" customWidth="1"/>
    <col min="11020" max="11020" width="8.28515625" style="9" customWidth="1"/>
    <col min="11021" max="11021" width="9.140625" style="9"/>
    <col min="11022" max="11024" width="7.5703125" style="9" customWidth="1"/>
    <col min="11025" max="11025" width="10.28515625" style="9" customWidth="1"/>
    <col min="11026" max="11026" width="10.5703125" style="9" customWidth="1"/>
    <col min="11027" max="11027" width="11.140625" style="9" customWidth="1"/>
    <col min="11028" max="11028" width="10.42578125" style="9" customWidth="1"/>
    <col min="11029" max="11038" width="11" style="9" customWidth="1"/>
    <col min="11039" max="11039" width="9.140625" style="9" customWidth="1"/>
    <col min="11040" max="11040" width="6.85546875" style="9" customWidth="1"/>
    <col min="11041" max="11041" width="15" style="9" bestFit="1" customWidth="1"/>
    <col min="11042" max="11266" width="9.140625" style="9"/>
    <col min="11267" max="11267" width="4" style="9" customWidth="1"/>
    <col min="11268" max="11268" width="24.42578125" style="9" customWidth="1"/>
    <col min="11269" max="11269" width="19.85546875" style="9" customWidth="1"/>
    <col min="11270" max="11270" width="9.28515625" style="9" customWidth="1"/>
    <col min="11271" max="11271" width="10" style="9" customWidth="1"/>
    <col min="11272" max="11272" width="8.42578125" style="9" customWidth="1"/>
    <col min="11273" max="11273" width="12.28515625" style="9" customWidth="1"/>
    <col min="11274" max="11274" width="7.5703125" style="9" customWidth="1"/>
    <col min="11275" max="11275" width="7.85546875" style="9" customWidth="1"/>
    <col min="11276" max="11276" width="8.28515625" style="9" customWidth="1"/>
    <col min="11277" max="11277" width="9.140625" style="9"/>
    <col min="11278" max="11280" width="7.5703125" style="9" customWidth="1"/>
    <col min="11281" max="11281" width="10.28515625" style="9" customWidth="1"/>
    <col min="11282" max="11282" width="10.5703125" style="9" customWidth="1"/>
    <col min="11283" max="11283" width="11.140625" style="9" customWidth="1"/>
    <col min="11284" max="11284" width="10.42578125" style="9" customWidth="1"/>
    <col min="11285" max="11294" width="11" style="9" customWidth="1"/>
    <col min="11295" max="11295" width="9.140625" style="9" customWidth="1"/>
    <col min="11296" max="11296" width="6.85546875" style="9" customWidth="1"/>
    <col min="11297" max="11297" width="15" style="9" bestFit="1" customWidth="1"/>
    <col min="11298" max="11522" width="9.140625" style="9"/>
    <col min="11523" max="11523" width="4" style="9" customWidth="1"/>
    <col min="11524" max="11524" width="24.42578125" style="9" customWidth="1"/>
    <col min="11525" max="11525" width="19.85546875" style="9" customWidth="1"/>
    <col min="11526" max="11526" width="9.28515625" style="9" customWidth="1"/>
    <col min="11527" max="11527" width="10" style="9" customWidth="1"/>
    <col min="11528" max="11528" width="8.42578125" style="9" customWidth="1"/>
    <col min="11529" max="11529" width="12.28515625" style="9" customWidth="1"/>
    <col min="11530" max="11530" width="7.5703125" style="9" customWidth="1"/>
    <col min="11531" max="11531" width="7.85546875" style="9" customWidth="1"/>
    <col min="11532" max="11532" width="8.28515625" style="9" customWidth="1"/>
    <col min="11533" max="11533" width="9.140625" style="9"/>
    <col min="11534" max="11536" width="7.5703125" style="9" customWidth="1"/>
    <col min="11537" max="11537" width="10.28515625" style="9" customWidth="1"/>
    <col min="11538" max="11538" width="10.5703125" style="9" customWidth="1"/>
    <col min="11539" max="11539" width="11.140625" style="9" customWidth="1"/>
    <col min="11540" max="11540" width="10.42578125" style="9" customWidth="1"/>
    <col min="11541" max="11550" width="11" style="9" customWidth="1"/>
    <col min="11551" max="11551" width="9.140625" style="9" customWidth="1"/>
    <col min="11552" max="11552" width="6.85546875" style="9" customWidth="1"/>
    <col min="11553" max="11553" width="15" style="9" bestFit="1" customWidth="1"/>
    <col min="11554" max="11778" width="9.140625" style="9"/>
    <col min="11779" max="11779" width="4" style="9" customWidth="1"/>
    <col min="11780" max="11780" width="24.42578125" style="9" customWidth="1"/>
    <col min="11781" max="11781" width="19.85546875" style="9" customWidth="1"/>
    <col min="11782" max="11782" width="9.28515625" style="9" customWidth="1"/>
    <col min="11783" max="11783" width="10" style="9" customWidth="1"/>
    <col min="11784" max="11784" width="8.42578125" style="9" customWidth="1"/>
    <col min="11785" max="11785" width="12.28515625" style="9" customWidth="1"/>
    <col min="11786" max="11786" width="7.5703125" style="9" customWidth="1"/>
    <col min="11787" max="11787" width="7.85546875" style="9" customWidth="1"/>
    <col min="11788" max="11788" width="8.28515625" style="9" customWidth="1"/>
    <col min="11789" max="11789" width="9.140625" style="9"/>
    <col min="11790" max="11792" width="7.5703125" style="9" customWidth="1"/>
    <col min="11793" max="11793" width="10.28515625" style="9" customWidth="1"/>
    <col min="11794" max="11794" width="10.5703125" style="9" customWidth="1"/>
    <col min="11795" max="11795" width="11.140625" style="9" customWidth="1"/>
    <col min="11796" max="11796" width="10.42578125" style="9" customWidth="1"/>
    <col min="11797" max="11806" width="11" style="9" customWidth="1"/>
    <col min="11807" max="11807" width="9.140625" style="9" customWidth="1"/>
    <col min="11808" max="11808" width="6.85546875" style="9" customWidth="1"/>
    <col min="11809" max="11809" width="15" style="9" bestFit="1" customWidth="1"/>
    <col min="11810" max="12034" width="9.140625" style="9"/>
    <col min="12035" max="12035" width="4" style="9" customWidth="1"/>
    <col min="12036" max="12036" width="24.42578125" style="9" customWidth="1"/>
    <col min="12037" max="12037" width="19.85546875" style="9" customWidth="1"/>
    <col min="12038" max="12038" width="9.28515625" style="9" customWidth="1"/>
    <col min="12039" max="12039" width="10" style="9" customWidth="1"/>
    <col min="12040" max="12040" width="8.42578125" style="9" customWidth="1"/>
    <col min="12041" max="12041" width="12.28515625" style="9" customWidth="1"/>
    <col min="12042" max="12042" width="7.5703125" style="9" customWidth="1"/>
    <col min="12043" max="12043" width="7.85546875" style="9" customWidth="1"/>
    <col min="12044" max="12044" width="8.28515625" style="9" customWidth="1"/>
    <col min="12045" max="12045" width="9.140625" style="9"/>
    <col min="12046" max="12048" width="7.5703125" style="9" customWidth="1"/>
    <col min="12049" max="12049" width="10.28515625" style="9" customWidth="1"/>
    <col min="12050" max="12050" width="10.5703125" style="9" customWidth="1"/>
    <col min="12051" max="12051" width="11.140625" style="9" customWidth="1"/>
    <col min="12052" max="12052" width="10.42578125" style="9" customWidth="1"/>
    <col min="12053" max="12062" width="11" style="9" customWidth="1"/>
    <col min="12063" max="12063" width="9.140625" style="9" customWidth="1"/>
    <col min="12064" max="12064" width="6.85546875" style="9" customWidth="1"/>
    <col min="12065" max="12065" width="15" style="9" bestFit="1" customWidth="1"/>
    <col min="12066" max="12290" width="9.140625" style="9"/>
    <col min="12291" max="12291" width="4" style="9" customWidth="1"/>
    <col min="12292" max="12292" width="24.42578125" style="9" customWidth="1"/>
    <col min="12293" max="12293" width="19.85546875" style="9" customWidth="1"/>
    <col min="12294" max="12294" width="9.28515625" style="9" customWidth="1"/>
    <col min="12295" max="12295" width="10" style="9" customWidth="1"/>
    <col min="12296" max="12296" width="8.42578125" style="9" customWidth="1"/>
    <col min="12297" max="12297" width="12.28515625" style="9" customWidth="1"/>
    <col min="12298" max="12298" width="7.5703125" style="9" customWidth="1"/>
    <col min="12299" max="12299" width="7.85546875" style="9" customWidth="1"/>
    <col min="12300" max="12300" width="8.28515625" style="9" customWidth="1"/>
    <col min="12301" max="12301" width="9.140625" style="9"/>
    <col min="12302" max="12304" width="7.5703125" style="9" customWidth="1"/>
    <col min="12305" max="12305" width="10.28515625" style="9" customWidth="1"/>
    <col min="12306" max="12306" width="10.5703125" style="9" customWidth="1"/>
    <col min="12307" max="12307" width="11.140625" style="9" customWidth="1"/>
    <col min="12308" max="12308" width="10.42578125" style="9" customWidth="1"/>
    <col min="12309" max="12318" width="11" style="9" customWidth="1"/>
    <col min="12319" max="12319" width="9.140625" style="9" customWidth="1"/>
    <col min="12320" max="12320" width="6.85546875" style="9" customWidth="1"/>
    <col min="12321" max="12321" width="15" style="9" bestFit="1" customWidth="1"/>
    <col min="12322" max="12546" width="9.140625" style="9"/>
    <col min="12547" max="12547" width="4" style="9" customWidth="1"/>
    <col min="12548" max="12548" width="24.42578125" style="9" customWidth="1"/>
    <col min="12549" max="12549" width="19.85546875" style="9" customWidth="1"/>
    <col min="12550" max="12550" width="9.28515625" style="9" customWidth="1"/>
    <col min="12551" max="12551" width="10" style="9" customWidth="1"/>
    <col min="12552" max="12552" width="8.42578125" style="9" customWidth="1"/>
    <col min="12553" max="12553" width="12.28515625" style="9" customWidth="1"/>
    <col min="12554" max="12554" width="7.5703125" style="9" customWidth="1"/>
    <col min="12555" max="12555" width="7.85546875" style="9" customWidth="1"/>
    <col min="12556" max="12556" width="8.28515625" style="9" customWidth="1"/>
    <col min="12557" max="12557" width="9.140625" style="9"/>
    <col min="12558" max="12560" width="7.5703125" style="9" customWidth="1"/>
    <col min="12561" max="12561" width="10.28515625" style="9" customWidth="1"/>
    <col min="12562" max="12562" width="10.5703125" style="9" customWidth="1"/>
    <col min="12563" max="12563" width="11.140625" style="9" customWidth="1"/>
    <col min="12564" max="12564" width="10.42578125" style="9" customWidth="1"/>
    <col min="12565" max="12574" width="11" style="9" customWidth="1"/>
    <col min="12575" max="12575" width="9.140625" style="9" customWidth="1"/>
    <col min="12576" max="12576" width="6.85546875" style="9" customWidth="1"/>
    <col min="12577" max="12577" width="15" style="9" bestFit="1" customWidth="1"/>
    <col min="12578" max="12802" width="9.140625" style="9"/>
    <col min="12803" max="12803" width="4" style="9" customWidth="1"/>
    <col min="12804" max="12804" width="24.42578125" style="9" customWidth="1"/>
    <col min="12805" max="12805" width="19.85546875" style="9" customWidth="1"/>
    <col min="12806" max="12806" width="9.28515625" style="9" customWidth="1"/>
    <col min="12807" max="12807" width="10" style="9" customWidth="1"/>
    <col min="12808" max="12808" width="8.42578125" style="9" customWidth="1"/>
    <col min="12809" max="12809" width="12.28515625" style="9" customWidth="1"/>
    <col min="12810" max="12810" width="7.5703125" style="9" customWidth="1"/>
    <col min="12811" max="12811" width="7.85546875" style="9" customWidth="1"/>
    <col min="12812" max="12812" width="8.28515625" style="9" customWidth="1"/>
    <col min="12813" max="12813" width="9.140625" style="9"/>
    <col min="12814" max="12816" width="7.5703125" style="9" customWidth="1"/>
    <col min="12817" max="12817" width="10.28515625" style="9" customWidth="1"/>
    <col min="12818" max="12818" width="10.5703125" style="9" customWidth="1"/>
    <col min="12819" max="12819" width="11.140625" style="9" customWidth="1"/>
    <col min="12820" max="12820" width="10.42578125" style="9" customWidth="1"/>
    <col min="12821" max="12830" width="11" style="9" customWidth="1"/>
    <col min="12831" max="12831" width="9.140625" style="9" customWidth="1"/>
    <col min="12832" max="12832" width="6.85546875" style="9" customWidth="1"/>
    <col min="12833" max="12833" width="15" style="9" bestFit="1" customWidth="1"/>
    <col min="12834" max="13058" width="9.140625" style="9"/>
    <col min="13059" max="13059" width="4" style="9" customWidth="1"/>
    <col min="13060" max="13060" width="24.42578125" style="9" customWidth="1"/>
    <col min="13061" max="13061" width="19.85546875" style="9" customWidth="1"/>
    <col min="13062" max="13062" width="9.28515625" style="9" customWidth="1"/>
    <col min="13063" max="13063" width="10" style="9" customWidth="1"/>
    <col min="13064" max="13064" width="8.42578125" style="9" customWidth="1"/>
    <col min="13065" max="13065" width="12.28515625" style="9" customWidth="1"/>
    <col min="13066" max="13066" width="7.5703125" style="9" customWidth="1"/>
    <col min="13067" max="13067" width="7.85546875" style="9" customWidth="1"/>
    <col min="13068" max="13068" width="8.28515625" style="9" customWidth="1"/>
    <col min="13069" max="13069" width="9.140625" style="9"/>
    <col min="13070" max="13072" width="7.5703125" style="9" customWidth="1"/>
    <col min="13073" max="13073" width="10.28515625" style="9" customWidth="1"/>
    <col min="13074" max="13074" width="10.5703125" style="9" customWidth="1"/>
    <col min="13075" max="13075" width="11.140625" style="9" customWidth="1"/>
    <col min="13076" max="13076" width="10.42578125" style="9" customWidth="1"/>
    <col min="13077" max="13086" width="11" style="9" customWidth="1"/>
    <col min="13087" max="13087" width="9.140625" style="9" customWidth="1"/>
    <col min="13088" max="13088" width="6.85546875" style="9" customWidth="1"/>
    <col min="13089" max="13089" width="15" style="9" bestFit="1" customWidth="1"/>
    <col min="13090" max="13314" width="9.140625" style="9"/>
    <col min="13315" max="13315" width="4" style="9" customWidth="1"/>
    <col min="13316" max="13316" width="24.42578125" style="9" customWidth="1"/>
    <col min="13317" max="13317" width="19.85546875" style="9" customWidth="1"/>
    <col min="13318" max="13318" width="9.28515625" style="9" customWidth="1"/>
    <col min="13319" max="13319" width="10" style="9" customWidth="1"/>
    <col min="13320" max="13320" width="8.42578125" style="9" customWidth="1"/>
    <col min="13321" max="13321" width="12.28515625" style="9" customWidth="1"/>
    <col min="13322" max="13322" width="7.5703125" style="9" customWidth="1"/>
    <col min="13323" max="13323" width="7.85546875" style="9" customWidth="1"/>
    <col min="13324" max="13324" width="8.28515625" style="9" customWidth="1"/>
    <col min="13325" max="13325" width="9.140625" style="9"/>
    <col min="13326" max="13328" width="7.5703125" style="9" customWidth="1"/>
    <col min="13329" max="13329" width="10.28515625" style="9" customWidth="1"/>
    <col min="13330" max="13330" width="10.5703125" style="9" customWidth="1"/>
    <col min="13331" max="13331" width="11.140625" style="9" customWidth="1"/>
    <col min="13332" max="13332" width="10.42578125" style="9" customWidth="1"/>
    <col min="13333" max="13342" width="11" style="9" customWidth="1"/>
    <col min="13343" max="13343" width="9.140625" style="9" customWidth="1"/>
    <col min="13344" max="13344" width="6.85546875" style="9" customWidth="1"/>
    <col min="13345" max="13345" width="15" style="9" bestFit="1" customWidth="1"/>
    <col min="13346" max="13570" width="9.140625" style="9"/>
    <col min="13571" max="13571" width="4" style="9" customWidth="1"/>
    <col min="13572" max="13572" width="24.42578125" style="9" customWidth="1"/>
    <col min="13573" max="13573" width="19.85546875" style="9" customWidth="1"/>
    <col min="13574" max="13574" width="9.28515625" style="9" customWidth="1"/>
    <col min="13575" max="13575" width="10" style="9" customWidth="1"/>
    <col min="13576" max="13576" width="8.42578125" style="9" customWidth="1"/>
    <col min="13577" max="13577" width="12.28515625" style="9" customWidth="1"/>
    <col min="13578" max="13578" width="7.5703125" style="9" customWidth="1"/>
    <col min="13579" max="13579" width="7.85546875" style="9" customWidth="1"/>
    <col min="13580" max="13580" width="8.28515625" style="9" customWidth="1"/>
    <col min="13581" max="13581" width="9.140625" style="9"/>
    <col min="13582" max="13584" width="7.5703125" style="9" customWidth="1"/>
    <col min="13585" max="13585" width="10.28515625" style="9" customWidth="1"/>
    <col min="13586" max="13586" width="10.5703125" style="9" customWidth="1"/>
    <col min="13587" max="13587" width="11.140625" style="9" customWidth="1"/>
    <col min="13588" max="13588" width="10.42578125" style="9" customWidth="1"/>
    <col min="13589" max="13598" width="11" style="9" customWidth="1"/>
    <col min="13599" max="13599" width="9.140625" style="9" customWidth="1"/>
    <col min="13600" max="13600" width="6.85546875" style="9" customWidth="1"/>
    <col min="13601" max="13601" width="15" style="9" bestFit="1" customWidth="1"/>
    <col min="13602" max="13826" width="9.140625" style="9"/>
    <col min="13827" max="13827" width="4" style="9" customWidth="1"/>
    <col min="13828" max="13828" width="24.42578125" style="9" customWidth="1"/>
    <col min="13829" max="13829" width="19.85546875" style="9" customWidth="1"/>
    <col min="13830" max="13830" width="9.28515625" style="9" customWidth="1"/>
    <col min="13831" max="13831" width="10" style="9" customWidth="1"/>
    <col min="13832" max="13832" width="8.42578125" style="9" customWidth="1"/>
    <col min="13833" max="13833" width="12.28515625" style="9" customWidth="1"/>
    <col min="13834" max="13834" width="7.5703125" style="9" customWidth="1"/>
    <col min="13835" max="13835" width="7.85546875" style="9" customWidth="1"/>
    <col min="13836" max="13836" width="8.28515625" style="9" customWidth="1"/>
    <col min="13837" max="13837" width="9.140625" style="9"/>
    <col min="13838" max="13840" width="7.5703125" style="9" customWidth="1"/>
    <col min="13841" max="13841" width="10.28515625" style="9" customWidth="1"/>
    <col min="13842" max="13842" width="10.5703125" style="9" customWidth="1"/>
    <col min="13843" max="13843" width="11.140625" style="9" customWidth="1"/>
    <col min="13844" max="13844" width="10.42578125" style="9" customWidth="1"/>
    <col min="13845" max="13854" width="11" style="9" customWidth="1"/>
    <col min="13855" max="13855" width="9.140625" style="9" customWidth="1"/>
    <col min="13856" max="13856" width="6.85546875" style="9" customWidth="1"/>
    <col min="13857" max="13857" width="15" style="9" bestFit="1" customWidth="1"/>
    <col min="13858" max="14082" width="9.140625" style="9"/>
    <col min="14083" max="14083" width="4" style="9" customWidth="1"/>
    <col min="14084" max="14084" width="24.42578125" style="9" customWidth="1"/>
    <col min="14085" max="14085" width="19.85546875" style="9" customWidth="1"/>
    <col min="14086" max="14086" width="9.28515625" style="9" customWidth="1"/>
    <col min="14087" max="14087" width="10" style="9" customWidth="1"/>
    <col min="14088" max="14088" width="8.42578125" style="9" customWidth="1"/>
    <col min="14089" max="14089" width="12.28515625" style="9" customWidth="1"/>
    <col min="14090" max="14090" width="7.5703125" style="9" customWidth="1"/>
    <col min="14091" max="14091" width="7.85546875" style="9" customWidth="1"/>
    <col min="14092" max="14092" width="8.28515625" style="9" customWidth="1"/>
    <col min="14093" max="14093" width="9.140625" style="9"/>
    <col min="14094" max="14096" width="7.5703125" style="9" customWidth="1"/>
    <col min="14097" max="14097" width="10.28515625" style="9" customWidth="1"/>
    <col min="14098" max="14098" width="10.5703125" style="9" customWidth="1"/>
    <col min="14099" max="14099" width="11.140625" style="9" customWidth="1"/>
    <col min="14100" max="14100" width="10.42578125" style="9" customWidth="1"/>
    <col min="14101" max="14110" width="11" style="9" customWidth="1"/>
    <col min="14111" max="14111" width="9.140625" style="9" customWidth="1"/>
    <col min="14112" max="14112" width="6.85546875" style="9" customWidth="1"/>
    <col min="14113" max="14113" width="15" style="9" bestFit="1" customWidth="1"/>
    <col min="14114" max="14338" width="9.140625" style="9"/>
    <col min="14339" max="14339" width="4" style="9" customWidth="1"/>
    <col min="14340" max="14340" width="24.42578125" style="9" customWidth="1"/>
    <col min="14341" max="14341" width="19.85546875" style="9" customWidth="1"/>
    <col min="14342" max="14342" width="9.28515625" style="9" customWidth="1"/>
    <col min="14343" max="14343" width="10" style="9" customWidth="1"/>
    <col min="14344" max="14344" width="8.42578125" style="9" customWidth="1"/>
    <col min="14345" max="14345" width="12.28515625" style="9" customWidth="1"/>
    <col min="14346" max="14346" width="7.5703125" style="9" customWidth="1"/>
    <col min="14347" max="14347" width="7.85546875" style="9" customWidth="1"/>
    <col min="14348" max="14348" width="8.28515625" style="9" customWidth="1"/>
    <col min="14349" max="14349" width="9.140625" style="9"/>
    <col min="14350" max="14352" width="7.5703125" style="9" customWidth="1"/>
    <col min="14353" max="14353" width="10.28515625" style="9" customWidth="1"/>
    <col min="14354" max="14354" width="10.5703125" style="9" customWidth="1"/>
    <col min="14355" max="14355" width="11.140625" style="9" customWidth="1"/>
    <col min="14356" max="14356" width="10.42578125" style="9" customWidth="1"/>
    <col min="14357" max="14366" width="11" style="9" customWidth="1"/>
    <col min="14367" max="14367" width="9.140625" style="9" customWidth="1"/>
    <col min="14368" max="14368" width="6.85546875" style="9" customWidth="1"/>
    <col min="14369" max="14369" width="15" style="9" bestFit="1" customWidth="1"/>
    <col min="14370" max="14594" width="9.140625" style="9"/>
    <col min="14595" max="14595" width="4" style="9" customWidth="1"/>
    <col min="14596" max="14596" width="24.42578125" style="9" customWidth="1"/>
    <col min="14597" max="14597" width="19.85546875" style="9" customWidth="1"/>
    <col min="14598" max="14598" width="9.28515625" style="9" customWidth="1"/>
    <col min="14599" max="14599" width="10" style="9" customWidth="1"/>
    <col min="14600" max="14600" width="8.42578125" style="9" customWidth="1"/>
    <col min="14601" max="14601" width="12.28515625" style="9" customWidth="1"/>
    <col min="14602" max="14602" width="7.5703125" style="9" customWidth="1"/>
    <col min="14603" max="14603" width="7.85546875" style="9" customWidth="1"/>
    <col min="14604" max="14604" width="8.28515625" style="9" customWidth="1"/>
    <col min="14605" max="14605" width="9.140625" style="9"/>
    <col min="14606" max="14608" width="7.5703125" style="9" customWidth="1"/>
    <col min="14609" max="14609" width="10.28515625" style="9" customWidth="1"/>
    <col min="14610" max="14610" width="10.5703125" style="9" customWidth="1"/>
    <col min="14611" max="14611" width="11.140625" style="9" customWidth="1"/>
    <col min="14612" max="14612" width="10.42578125" style="9" customWidth="1"/>
    <col min="14613" max="14622" width="11" style="9" customWidth="1"/>
    <col min="14623" max="14623" width="9.140625" style="9" customWidth="1"/>
    <col min="14624" max="14624" width="6.85546875" style="9" customWidth="1"/>
    <col min="14625" max="14625" width="15" style="9" bestFit="1" customWidth="1"/>
    <col min="14626" max="14850" width="9.140625" style="9"/>
    <col min="14851" max="14851" width="4" style="9" customWidth="1"/>
    <col min="14852" max="14852" width="24.42578125" style="9" customWidth="1"/>
    <col min="14853" max="14853" width="19.85546875" style="9" customWidth="1"/>
    <col min="14854" max="14854" width="9.28515625" style="9" customWidth="1"/>
    <col min="14855" max="14855" width="10" style="9" customWidth="1"/>
    <col min="14856" max="14856" width="8.42578125" style="9" customWidth="1"/>
    <col min="14857" max="14857" width="12.28515625" style="9" customWidth="1"/>
    <col min="14858" max="14858" width="7.5703125" style="9" customWidth="1"/>
    <col min="14859" max="14859" width="7.85546875" style="9" customWidth="1"/>
    <col min="14860" max="14860" width="8.28515625" style="9" customWidth="1"/>
    <col min="14861" max="14861" width="9.140625" style="9"/>
    <col min="14862" max="14864" width="7.5703125" style="9" customWidth="1"/>
    <col min="14865" max="14865" width="10.28515625" style="9" customWidth="1"/>
    <col min="14866" max="14866" width="10.5703125" style="9" customWidth="1"/>
    <col min="14867" max="14867" width="11.140625" style="9" customWidth="1"/>
    <col min="14868" max="14868" width="10.42578125" style="9" customWidth="1"/>
    <col min="14869" max="14878" width="11" style="9" customWidth="1"/>
    <col min="14879" max="14879" width="9.140625" style="9" customWidth="1"/>
    <col min="14880" max="14880" width="6.85546875" style="9" customWidth="1"/>
    <col min="14881" max="14881" width="15" style="9" bestFit="1" customWidth="1"/>
    <col min="14882" max="15106" width="9.140625" style="9"/>
    <col min="15107" max="15107" width="4" style="9" customWidth="1"/>
    <col min="15108" max="15108" width="24.42578125" style="9" customWidth="1"/>
    <col min="15109" max="15109" width="19.85546875" style="9" customWidth="1"/>
    <col min="15110" max="15110" width="9.28515625" style="9" customWidth="1"/>
    <col min="15111" max="15111" width="10" style="9" customWidth="1"/>
    <col min="15112" max="15112" width="8.42578125" style="9" customWidth="1"/>
    <col min="15113" max="15113" width="12.28515625" style="9" customWidth="1"/>
    <col min="15114" max="15114" width="7.5703125" style="9" customWidth="1"/>
    <col min="15115" max="15115" width="7.85546875" style="9" customWidth="1"/>
    <col min="15116" max="15116" width="8.28515625" style="9" customWidth="1"/>
    <col min="15117" max="15117" width="9.140625" style="9"/>
    <col min="15118" max="15120" width="7.5703125" style="9" customWidth="1"/>
    <col min="15121" max="15121" width="10.28515625" style="9" customWidth="1"/>
    <col min="15122" max="15122" width="10.5703125" style="9" customWidth="1"/>
    <col min="15123" max="15123" width="11.140625" style="9" customWidth="1"/>
    <col min="15124" max="15124" width="10.42578125" style="9" customWidth="1"/>
    <col min="15125" max="15134" width="11" style="9" customWidth="1"/>
    <col min="15135" max="15135" width="9.140625" style="9" customWidth="1"/>
    <col min="15136" max="15136" width="6.85546875" style="9" customWidth="1"/>
    <col min="15137" max="15137" width="15" style="9" bestFit="1" customWidth="1"/>
    <col min="15138" max="15362" width="9.140625" style="9"/>
    <col min="15363" max="15363" width="4" style="9" customWidth="1"/>
    <col min="15364" max="15364" width="24.42578125" style="9" customWidth="1"/>
    <col min="15365" max="15365" width="19.85546875" style="9" customWidth="1"/>
    <col min="15366" max="15366" width="9.28515625" style="9" customWidth="1"/>
    <col min="15367" max="15367" width="10" style="9" customWidth="1"/>
    <col min="15368" max="15368" width="8.42578125" style="9" customWidth="1"/>
    <col min="15369" max="15369" width="12.28515625" style="9" customWidth="1"/>
    <col min="15370" max="15370" width="7.5703125" style="9" customWidth="1"/>
    <col min="15371" max="15371" width="7.85546875" style="9" customWidth="1"/>
    <col min="15372" max="15372" width="8.28515625" style="9" customWidth="1"/>
    <col min="15373" max="15373" width="9.140625" style="9"/>
    <col min="15374" max="15376" width="7.5703125" style="9" customWidth="1"/>
    <col min="15377" max="15377" width="10.28515625" style="9" customWidth="1"/>
    <col min="15378" max="15378" width="10.5703125" style="9" customWidth="1"/>
    <col min="15379" max="15379" width="11.140625" style="9" customWidth="1"/>
    <col min="15380" max="15380" width="10.42578125" style="9" customWidth="1"/>
    <col min="15381" max="15390" width="11" style="9" customWidth="1"/>
    <col min="15391" max="15391" width="9.140625" style="9" customWidth="1"/>
    <col min="15392" max="15392" width="6.85546875" style="9" customWidth="1"/>
    <col min="15393" max="15393" width="15" style="9" bestFit="1" customWidth="1"/>
    <col min="15394" max="15618" width="9.140625" style="9"/>
    <col min="15619" max="15619" width="4" style="9" customWidth="1"/>
    <col min="15620" max="15620" width="24.42578125" style="9" customWidth="1"/>
    <col min="15621" max="15621" width="19.85546875" style="9" customWidth="1"/>
    <col min="15622" max="15622" width="9.28515625" style="9" customWidth="1"/>
    <col min="15623" max="15623" width="10" style="9" customWidth="1"/>
    <col min="15624" max="15624" width="8.42578125" style="9" customWidth="1"/>
    <col min="15625" max="15625" width="12.28515625" style="9" customWidth="1"/>
    <col min="15626" max="15626" width="7.5703125" style="9" customWidth="1"/>
    <col min="15627" max="15627" width="7.85546875" style="9" customWidth="1"/>
    <col min="15628" max="15628" width="8.28515625" style="9" customWidth="1"/>
    <col min="15629" max="15629" width="9.140625" style="9"/>
    <col min="15630" max="15632" width="7.5703125" style="9" customWidth="1"/>
    <col min="15633" max="15633" width="10.28515625" style="9" customWidth="1"/>
    <col min="15634" max="15634" width="10.5703125" style="9" customWidth="1"/>
    <col min="15635" max="15635" width="11.140625" style="9" customWidth="1"/>
    <col min="15636" max="15636" width="10.42578125" style="9" customWidth="1"/>
    <col min="15637" max="15646" width="11" style="9" customWidth="1"/>
    <col min="15647" max="15647" width="9.140625" style="9" customWidth="1"/>
    <col min="15648" max="15648" width="6.85546875" style="9" customWidth="1"/>
    <col min="15649" max="15649" width="15" style="9" bestFit="1" customWidth="1"/>
    <col min="15650" max="15874" width="9.140625" style="9"/>
    <col min="15875" max="15875" width="4" style="9" customWidth="1"/>
    <col min="15876" max="15876" width="24.42578125" style="9" customWidth="1"/>
    <col min="15877" max="15877" width="19.85546875" style="9" customWidth="1"/>
    <col min="15878" max="15878" width="9.28515625" style="9" customWidth="1"/>
    <col min="15879" max="15879" width="10" style="9" customWidth="1"/>
    <col min="15880" max="15880" width="8.42578125" style="9" customWidth="1"/>
    <col min="15881" max="15881" width="12.28515625" style="9" customWidth="1"/>
    <col min="15882" max="15882" width="7.5703125" style="9" customWidth="1"/>
    <col min="15883" max="15883" width="7.85546875" style="9" customWidth="1"/>
    <col min="15884" max="15884" width="8.28515625" style="9" customWidth="1"/>
    <col min="15885" max="15885" width="9.140625" style="9"/>
    <col min="15886" max="15888" width="7.5703125" style="9" customWidth="1"/>
    <col min="15889" max="15889" width="10.28515625" style="9" customWidth="1"/>
    <col min="15890" max="15890" width="10.5703125" style="9" customWidth="1"/>
    <col min="15891" max="15891" width="11.140625" style="9" customWidth="1"/>
    <col min="15892" max="15892" width="10.42578125" style="9" customWidth="1"/>
    <col min="15893" max="15902" width="11" style="9" customWidth="1"/>
    <col min="15903" max="15903" width="9.140625" style="9" customWidth="1"/>
    <col min="15904" max="15904" width="6.85546875" style="9" customWidth="1"/>
    <col min="15905" max="15905" width="15" style="9" bestFit="1" customWidth="1"/>
    <col min="15906" max="16130" width="9.140625" style="9"/>
    <col min="16131" max="16131" width="4" style="9" customWidth="1"/>
    <col min="16132" max="16132" width="24.42578125" style="9" customWidth="1"/>
    <col min="16133" max="16133" width="19.85546875" style="9" customWidth="1"/>
    <col min="16134" max="16134" width="9.28515625" style="9" customWidth="1"/>
    <col min="16135" max="16135" width="10" style="9" customWidth="1"/>
    <col min="16136" max="16136" width="8.42578125" style="9" customWidth="1"/>
    <col min="16137" max="16137" width="12.28515625" style="9" customWidth="1"/>
    <col min="16138" max="16138" width="7.5703125" style="9" customWidth="1"/>
    <col min="16139" max="16139" width="7.85546875" style="9" customWidth="1"/>
    <col min="16140" max="16140" width="8.28515625" style="9" customWidth="1"/>
    <col min="16141" max="16141" width="9.140625" style="9"/>
    <col min="16142" max="16144" width="7.5703125" style="9" customWidth="1"/>
    <col min="16145" max="16145" width="10.28515625" style="9" customWidth="1"/>
    <col min="16146" max="16146" width="10.5703125" style="9" customWidth="1"/>
    <col min="16147" max="16147" width="11.140625" style="9" customWidth="1"/>
    <col min="16148" max="16148" width="10.42578125" style="9" customWidth="1"/>
    <col min="16149" max="16158" width="11" style="9" customWidth="1"/>
    <col min="16159" max="16159" width="9.140625" style="9" customWidth="1"/>
    <col min="16160" max="16160" width="6.85546875" style="9" customWidth="1"/>
    <col min="16161" max="16161" width="15" style="9" bestFit="1" customWidth="1"/>
    <col min="16162" max="16384" width="9.140625" style="9"/>
  </cols>
  <sheetData>
    <row r="2" spans="1:48" ht="160.5">
      <c r="A2" s="1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5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6" t="s">
        <v>16</v>
      </c>
      <c r="R2" s="6" t="s">
        <v>17</v>
      </c>
      <c r="S2" s="6" t="s">
        <v>18</v>
      </c>
      <c r="T2" s="6" t="s">
        <v>19</v>
      </c>
      <c r="U2" s="6" t="s">
        <v>20</v>
      </c>
      <c r="V2" s="6" t="s">
        <v>21</v>
      </c>
      <c r="W2" s="6" t="s">
        <v>22</v>
      </c>
      <c r="X2" s="6" t="s">
        <v>23</v>
      </c>
      <c r="Y2" s="6" t="s">
        <v>24</v>
      </c>
      <c r="Z2" s="7" t="s">
        <v>25</v>
      </c>
      <c r="AA2" s="7" t="s">
        <v>26</v>
      </c>
      <c r="AB2" s="8" t="s">
        <v>27</v>
      </c>
      <c r="AC2" s="8" t="s">
        <v>28</v>
      </c>
      <c r="AD2" s="8" t="s">
        <v>29</v>
      </c>
      <c r="AE2" s="8" t="s">
        <v>164</v>
      </c>
      <c r="AF2" s="8" t="s">
        <v>143</v>
      </c>
      <c r="AG2" s="10" t="s">
        <v>30</v>
      </c>
      <c r="AH2" s="8" t="s">
        <v>144</v>
      </c>
      <c r="AI2" s="60" t="s">
        <v>145</v>
      </c>
      <c r="AJ2" s="61" t="s">
        <v>146</v>
      </c>
      <c r="AK2" s="61" t="s">
        <v>147</v>
      </c>
      <c r="AL2" s="59" t="s">
        <v>151</v>
      </c>
      <c r="AM2" s="9"/>
      <c r="AO2" s="63" t="s">
        <v>148</v>
      </c>
      <c r="AP2" s="63" t="s">
        <v>149</v>
      </c>
      <c r="AQ2" s="63" t="s">
        <v>150</v>
      </c>
      <c r="AR2" s="9">
        <v>4</v>
      </c>
      <c r="AS2" s="9">
        <v>12</v>
      </c>
      <c r="AT2" s="9"/>
      <c r="AU2" s="12" t="s">
        <v>31</v>
      </c>
      <c r="AV2" s="62" t="s">
        <v>152</v>
      </c>
    </row>
    <row r="3" spans="1:48" ht="23.25" customHeight="1">
      <c r="A3" s="219">
        <v>1</v>
      </c>
      <c r="B3" s="14" t="s">
        <v>32</v>
      </c>
      <c r="C3" s="14" t="s">
        <v>32</v>
      </c>
      <c r="D3" s="15" t="s">
        <v>33</v>
      </c>
      <c r="E3" s="16">
        <f t="shared" ref="E3:E15" si="0">AVERAGE(J3:N3)</f>
        <v>43003</v>
      </c>
      <c r="F3" s="16">
        <f t="shared" ref="F3:F15" si="1">AVERAGE(O3:V3)</f>
        <v>46327.875</v>
      </c>
      <c r="G3" s="16">
        <f>AVERAGE(W3:Z3)</f>
        <v>78850.5</v>
      </c>
      <c r="H3" s="16">
        <f>AVERAGE(AA3:AD3)</f>
        <v>68161.5</v>
      </c>
      <c r="I3" s="17">
        <v>115454</v>
      </c>
      <c r="J3" s="17">
        <f>20953+34257</f>
        <v>55210</v>
      </c>
      <c r="K3" s="17">
        <f>11506+18872</f>
        <v>30378</v>
      </c>
      <c r="L3" s="17">
        <f>15483+33338</f>
        <v>48821</v>
      </c>
      <c r="M3" s="17">
        <v>46267</v>
      </c>
      <c r="N3" s="17">
        <f>11097+23242</f>
        <v>34339</v>
      </c>
      <c r="O3" s="17">
        <v>45068</v>
      </c>
      <c r="P3" s="17">
        <v>48843</v>
      </c>
      <c r="Q3" s="17">
        <v>42904</v>
      </c>
      <c r="R3" s="17">
        <v>47723</v>
      </c>
      <c r="S3" s="17">
        <v>55332</v>
      </c>
      <c r="T3" s="17">
        <v>37415</v>
      </c>
      <c r="U3" s="17">
        <v>47983</v>
      </c>
      <c r="V3" s="17">
        <v>45355</v>
      </c>
      <c r="W3" s="17">
        <v>67196</v>
      </c>
      <c r="X3" s="17">
        <v>82706</v>
      </c>
      <c r="Y3" s="17">
        <v>78158</v>
      </c>
      <c r="Z3" s="17">
        <v>87342</v>
      </c>
      <c r="AA3" s="17">
        <v>85341</v>
      </c>
      <c r="AB3" s="18">
        <v>76252</v>
      </c>
      <c r="AC3" s="18">
        <v>70654</v>
      </c>
      <c r="AD3" s="18">
        <v>40399</v>
      </c>
      <c r="AE3" s="18">
        <v>19763</v>
      </c>
      <c r="AF3" s="44">
        <f>SUM(I3:AE3)</f>
        <v>1308903</v>
      </c>
      <c r="AG3" s="20">
        <v>5.8500000000000003E-2</v>
      </c>
      <c r="AH3" s="44">
        <f t="shared" ref="AH3:AH44" si="2">AF3*AG3</f>
        <v>76570.825500000006</v>
      </c>
      <c r="AI3" s="60">
        <f>AH3/$AH$45*100</f>
        <v>1.649625720099428</v>
      </c>
      <c r="AJ3" s="60">
        <f>AI3*$AJ$45/100</f>
        <v>329925.14401988557</v>
      </c>
      <c r="AK3" s="60">
        <f>AJ3/AG3</f>
        <v>5639746.0516219754</v>
      </c>
      <c r="AL3" s="11">
        <f t="shared" ref="AL3:AL18" si="3">AK3/AS3</f>
        <v>22031.259510382857</v>
      </c>
      <c r="AM3" s="9"/>
      <c r="AO3" s="22">
        <f>[1]საპენსიო!D2</f>
        <v>92.063670411985015</v>
      </c>
      <c r="AP3" s="22">
        <f>[1]შშმპ!D2</f>
        <v>78.595238095238102</v>
      </c>
      <c r="AQ3" s="23">
        <f>AVERAGE(AO3:AP3)</f>
        <v>85.329454253611559</v>
      </c>
      <c r="AR3" s="23">
        <f>AQ3/$AR$2</f>
        <v>21.33236356340289</v>
      </c>
      <c r="AS3" s="23">
        <f>AR3*$AS$2</f>
        <v>255.98836276083466</v>
      </c>
      <c r="AT3" s="9"/>
      <c r="AU3" s="21">
        <v>12852</v>
      </c>
      <c r="AV3" s="24">
        <f t="shared" ref="AV3:AV18" si="4">AU3/AR3</f>
        <v>602.46488682803408</v>
      </c>
    </row>
    <row r="4" spans="1:48">
      <c r="A4" s="219"/>
      <c r="B4" s="25" t="s">
        <v>34</v>
      </c>
      <c r="C4" s="25" t="s">
        <v>35</v>
      </c>
      <c r="D4" s="15" t="s">
        <v>36</v>
      </c>
      <c r="E4" s="16">
        <f t="shared" si="0"/>
        <v>62600.6</v>
      </c>
      <c r="F4" s="16">
        <f t="shared" si="1"/>
        <v>82328.125</v>
      </c>
      <c r="G4" s="16">
        <f t="shared" ref="G4:G44" si="5">AVERAGE(W4:Z4)</f>
        <v>138558</v>
      </c>
      <c r="H4" s="16">
        <f t="shared" ref="H4:H44" si="6">AVERAGE(AA4:AD4)</f>
        <v>136314</v>
      </c>
      <c r="I4" s="17">
        <v>128708</v>
      </c>
      <c r="J4" s="17">
        <f>68841</f>
        <v>68841</v>
      </c>
      <c r="K4" s="17">
        <f>41674</f>
        <v>41674</v>
      </c>
      <c r="L4" s="17">
        <f>77476</f>
        <v>77476</v>
      </c>
      <c r="M4" s="17">
        <v>71438</v>
      </c>
      <c r="N4" s="17">
        <f>180+53394</f>
        <v>53574</v>
      </c>
      <c r="O4" s="17">
        <v>68830</v>
      </c>
      <c r="P4" s="17">
        <v>87699</v>
      </c>
      <c r="Q4" s="17">
        <v>79766</v>
      </c>
      <c r="R4" s="17">
        <v>76260</v>
      </c>
      <c r="S4" s="17">
        <v>95079</v>
      </c>
      <c r="T4" s="17">
        <v>75991</v>
      </c>
      <c r="U4" s="17">
        <v>86045</v>
      </c>
      <c r="V4" s="17">
        <v>88955</v>
      </c>
      <c r="W4" s="17">
        <v>117285</v>
      </c>
      <c r="X4" s="17">
        <v>156780</v>
      </c>
      <c r="Y4" s="17">
        <v>143245</v>
      </c>
      <c r="Z4" s="17">
        <v>136922</v>
      </c>
      <c r="AA4" s="17">
        <v>138365</v>
      </c>
      <c r="AB4" s="18">
        <v>134077</v>
      </c>
      <c r="AC4" s="18">
        <v>133218</v>
      </c>
      <c r="AD4" s="18">
        <v>139596</v>
      </c>
      <c r="AE4" s="18">
        <v>194005</v>
      </c>
      <c r="AF4" s="44">
        <f t="shared" ref="AF4:AF44" si="7">SUM(I4:AE4)</f>
        <v>2393829</v>
      </c>
      <c r="AG4" s="26">
        <v>6.4500000000000002E-2</v>
      </c>
      <c r="AH4" s="44">
        <f t="shared" si="2"/>
        <v>154401.9705</v>
      </c>
      <c r="AI4" s="60">
        <f t="shared" ref="AI4:AI44" si="8">AH4/$AH$45*100</f>
        <v>3.326403497776488</v>
      </c>
      <c r="AJ4" s="60">
        <f t="shared" ref="AJ4:AJ44" si="9">AI4*$AJ$45/100</f>
        <v>665280.69955529762</v>
      </c>
      <c r="AK4" s="60">
        <f t="shared" ref="AK4:AK43" si="10">AJ4/AG4</f>
        <v>10314429.45046973</v>
      </c>
      <c r="AL4" s="11">
        <f t="shared" si="3"/>
        <v>37440.159783758609</v>
      </c>
      <c r="AM4" s="9"/>
      <c r="AO4" s="22">
        <f>[1]საპენსიო!D3</f>
        <v>87.473209249858996</v>
      </c>
      <c r="AP4" s="22">
        <f>[1]შშმპ!D3</f>
        <v>96.1875</v>
      </c>
      <c r="AQ4" s="23">
        <f t="shared" ref="AQ4:AQ44" si="11">AVERAGE(AO4:AP4)</f>
        <v>91.830354624929498</v>
      </c>
      <c r="AR4" s="23">
        <f t="shared" ref="AR4:AR44" si="12">AQ4/$AR$2</f>
        <v>22.957588656232375</v>
      </c>
      <c r="AS4" s="23">
        <f t="shared" ref="AS4:AS44" si="13">AR4*$AS$2</f>
        <v>275.49106387478849</v>
      </c>
      <c r="AT4" s="9"/>
      <c r="AU4" s="21">
        <v>970805</v>
      </c>
      <c r="AV4" s="24">
        <f t="shared" si="4"/>
        <v>42286.888860013278</v>
      </c>
    </row>
    <row r="5" spans="1:48">
      <c r="A5" s="25">
        <v>2</v>
      </c>
      <c r="B5" s="25" t="s">
        <v>37</v>
      </c>
      <c r="C5" s="25" t="s">
        <v>38</v>
      </c>
      <c r="D5" s="27" t="s">
        <v>39</v>
      </c>
      <c r="E5" s="16">
        <f t="shared" si="0"/>
        <v>44461.8</v>
      </c>
      <c r="F5" s="16">
        <f t="shared" si="1"/>
        <v>62495.625</v>
      </c>
      <c r="G5" s="16">
        <f t="shared" si="5"/>
        <v>127965.25</v>
      </c>
      <c r="H5" s="16">
        <f t="shared" si="6"/>
        <v>92294.25</v>
      </c>
      <c r="I5" s="17">
        <v>74656</v>
      </c>
      <c r="J5" s="17">
        <f>894+48877</f>
        <v>49771</v>
      </c>
      <c r="K5" s="17">
        <f>304+29577</f>
        <v>29881</v>
      </c>
      <c r="L5" s="17">
        <f>49670</f>
        <v>49670</v>
      </c>
      <c r="M5" s="17">
        <v>52667</v>
      </c>
      <c r="N5" s="17">
        <f>92+40228</f>
        <v>40320</v>
      </c>
      <c r="O5" s="17">
        <v>51024</v>
      </c>
      <c r="P5" s="17">
        <v>63258</v>
      </c>
      <c r="Q5" s="17">
        <v>59752</v>
      </c>
      <c r="R5" s="17">
        <v>57385</v>
      </c>
      <c r="S5" s="17">
        <v>78187</v>
      </c>
      <c r="T5" s="17">
        <v>57063</v>
      </c>
      <c r="U5" s="17">
        <v>65543</v>
      </c>
      <c r="V5" s="17">
        <v>67753</v>
      </c>
      <c r="W5" s="17">
        <v>107766</v>
      </c>
      <c r="X5" s="17">
        <v>143166</v>
      </c>
      <c r="Y5" s="17">
        <v>134239</v>
      </c>
      <c r="Z5" s="17">
        <v>126690</v>
      </c>
      <c r="AA5" s="17">
        <v>118049</v>
      </c>
      <c r="AB5" s="28">
        <f>2143+6105+111108</f>
        <v>119356</v>
      </c>
      <c r="AC5" s="28">
        <v>102458</v>
      </c>
      <c r="AD5" s="28">
        <v>29314</v>
      </c>
      <c r="AE5" s="28">
        <v>60741</v>
      </c>
      <c r="AF5" s="44">
        <f t="shared" si="7"/>
        <v>1738709</v>
      </c>
      <c r="AG5" s="26">
        <v>0.21840000000000001</v>
      </c>
      <c r="AH5" s="44">
        <f t="shared" si="2"/>
        <v>379734.04560000001</v>
      </c>
      <c r="AI5" s="60">
        <f t="shared" si="8"/>
        <v>8.1809102138930054</v>
      </c>
      <c r="AJ5" s="60">
        <f t="shared" si="9"/>
        <v>1636182.0427786009</v>
      </c>
      <c r="AK5" s="60">
        <f t="shared" si="10"/>
        <v>7491676.0200485392</v>
      </c>
      <c r="AL5" s="11">
        <f t="shared" si="3"/>
        <v>40034.06951317285</v>
      </c>
      <c r="AM5" s="9"/>
      <c r="AO5" s="22">
        <f>[1]საპენსიო!D4</f>
        <v>66.601855287569578</v>
      </c>
      <c r="AP5" s="22">
        <f>[1]შშმპ!D9</f>
        <v>58.153153153153156</v>
      </c>
      <c r="AQ5" s="23">
        <f t="shared" si="11"/>
        <v>62.377504220361367</v>
      </c>
      <c r="AR5" s="23">
        <f t="shared" si="12"/>
        <v>15.594376055090342</v>
      </c>
      <c r="AS5" s="23">
        <f t="shared" si="13"/>
        <v>187.13251266108409</v>
      </c>
      <c r="AT5" s="9"/>
      <c r="AU5" s="21">
        <v>160907</v>
      </c>
      <c r="AV5" s="24">
        <f t="shared" si="4"/>
        <v>10318.271114635361</v>
      </c>
    </row>
    <row r="6" spans="1:48">
      <c r="A6" s="25">
        <v>3</v>
      </c>
      <c r="B6" s="25" t="s">
        <v>40</v>
      </c>
      <c r="C6" s="25" t="s">
        <v>40</v>
      </c>
      <c r="D6" s="29" t="s">
        <v>41</v>
      </c>
      <c r="E6" s="16">
        <f t="shared" si="0"/>
        <v>55445</v>
      </c>
      <c r="F6" s="16">
        <f t="shared" si="1"/>
        <v>108836.625</v>
      </c>
      <c r="G6" s="16">
        <f t="shared" si="5"/>
        <v>216440.25</v>
      </c>
      <c r="H6" s="16">
        <f t="shared" si="6"/>
        <v>227824</v>
      </c>
      <c r="I6" s="17">
        <v>0</v>
      </c>
      <c r="J6" s="17">
        <v>0</v>
      </c>
      <c r="K6" s="17">
        <v>11654</v>
      </c>
      <c r="L6" s="17">
        <f>125527</f>
        <v>125527</v>
      </c>
      <c r="M6" s="17">
        <v>76906</v>
      </c>
      <c r="N6" s="17">
        <f>63138</f>
        <v>63138</v>
      </c>
      <c r="O6" s="17">
        <v>94802</v>
      </c>
      <c r="P6" s="17">
        <v>103039</v>
      </c>
      <c r="Q6" s="17">
        <v>106262</v>
      </c>
      <c r="R6" s="17">
        <v>109933</v>
      </c>
      <c r="S6" s="17">
        <v>124788</v>
      </c>
      <c r="T6" s="17">
        <v>101734</v>
      </c>
      <c r="U6" s="17">
        <v>117850</v>
      </c>
      <c r="V6" s="17">
        <v>112285</v>
      </c>
      <c r="W6" s="17">
        <v>174735</v>
      </c>
      <c r="X6" s="17">
        <v>241015</v>
      </c>
      <c r="Y6" s="17">
        <v>224504</v>
      </c>
      <c r="Z6" s="17">
        <v>225507</v>
      </c>
      <c r="AA6" s="17">
        <v>231313</v>
      </c>
      <c r="AB6" s="18">
        <v>231431</v>
      </c>
      <c r="AC6" s="18">
        <v>237975</v>
      </c>
      <c r="AD6" s="18">
        <v>210577</v>
      </c>
      <c r="AE6" s="18">
        <v>255545</v>
      </c>
      <c r="AF6" s="44">
        <f t="shared" si="7"/>
        <v>3180520</v>
      </c>
      <c r="AG6" s="30">
        <v>4.1000000000000002E-2</v>
      </c>
      <c r="AH6" s="44">
        <f t="shared" si="2"/>
        <v>130401.32</v>
      </c>
      <c r="AI6" s="60">
        <f t="shared" si="8"/>
        <v>2.8093385437893175</v>
      </c>
      <c r="AJ6" s="60">
        <f t="shared" si="9"/>
        <v>561867.7087578635</v>
      </c>
      <c r="AK6" s="60">
        <f t="shared" si="10"/>
        <v>13704090.457508866</v>
      </c>
      <c r="AL6" s="11">
        <f t="shared" si="3"/>
        <v>40026.77998852115</v>
      </c>
      <c r="AM6" s="9"/>
      <c r="AO6" s="22">
        <f>[1]საპენსიო!D17</f>
        <v>110.81858766233766</v>
      </c>
      <c r="AP6" s="22">
        <f>[1]შშმპ!D16</f>
        <v>117.43010752688173</v>
      </c>
      <c r="AQ6" s="23">
        <f t="shared" si="11"/>
        <v>114.1243475946097</v>
      </c>
      <c r="AR6" s="23">
        <f t="shared" si="12"/>
        <v>28.531086898652426</v>
      </c>
      <c r="AS6" s="23">
        <f t="shared" si="13"/>
        <v>342.37304278382908</v>
      </c>
      <c r="AT6" s="9"/>
      <c r="AU6" s="21">
        <v>1304050</v>
      </c>
      <c r="AV6" s="24">
        <f t="shared" si="4"/>
        <v>45706.285380301888</v>
      </c>
    </row>
    <row r="7" spans="1:48" ht="27" customHeight="1">
      <c r="A7" s="25">
        <v>4</v>
      </c>
      <c r="B7" s="25" t="s">
        <v>42</v>
      </c>
      <c r="C7" s="25" t="s">
        <v>43</v>
      </c>
      <c r="D7" s="31" t="s">
        <v>44</v>
      </c>
      <c r="E7" s="16">
        <f t="shared" si="0"/>
        <v>28665.599999999999</v>
      </c>
      <c r="F7" s="16">
        <f t="shared" si="1"/>
        <v>37865.25</v>
      </c>
      <c r="G7" s="16">
        <f t="shared" si="5"/>
        <v>71543.75</v>
      </c>
      <c r="H7" s="16">
        <f t="shared" si="6"/>
        <v>58414</v>
      </c>
      <c r="I7" s="17">
        <v>71359</v>
      </c>
      <c r="J7" s="17">
        <f>103+23+219+92+90+92+5463+17825+10070</f>
        <v>33977</v>
      </c>
      <c r="K7" s="17">
        <f>71+46+91+92+2667+9088+6961</f>
        <v>19016</v>
      </c>
      <c r="L7" s="17">
        <f>90+230+5697+14666+13155</f>
        <v>33838</v>
      </c>
      <c r="M7" s="17">
        <v>31458</v>
      </c>
      <c r="N7" s="17">
        <f>1+138+115+2448+8277+14060</f>
        <v>25039</v>
      </c>
      <c r="O7" s="17">
        <v>32180</v>
      </c>
      <c r="P7" s="17">
        <v>40242</v>
      </c>
      <c r="Q7" s="17">
        <v>34672</v>
      </c>
      <c r="R7" s="17">
        <v>37150</v>
      </c>
      <c r="S7" s="17">
        <v>44130</v>
      </c>
      <c r="T7" s="17">
        <v>33373</v>
      </c>
      <c r="U7" s="17">
        <v>39863</v>
      </c>
      <c r="V7" s="17">
        <v>41312</v>
      </c>
      <c r="W7" s="17">
        <v>62328</v>
      </c>
      <c r="X7" s="17">
        <v>81237</v>
      </c>
      <c r="Y7" s="17">
        <v>72170</v>
      </c>
      <c r="Z7" s="17">
        <v>70440</v>
      </c>
      <c r="AA7" s="17">
        <v>70692</v>
      </c>
      <c r="AB7" s="18">
        <v>71155</v>
      </c>
      <c r="AC7" s="18">
        <v>64086</v>
      </c>
      <c r="AD7" s="18">
        <v>27723</v>
      </c>
      <c r="AE7" s="18">
        <v>8706</v>
      </c>
      <c r="AF7" s="44">
        <f t="shared" si="7"/>
        <v>1046146</v>
      </c>
      <c r="AG7" s="30">
        <v>4.7500000000000001E-2</v>
      </c>
      <c r="AH7" s="44">
        <f t="shared" si="2"/>
        <v>49691.934999999998</v>
      </c>
      <c r="AI7" s="60">
        <f t="shared" si="8"/>
        <v>1.0705525704108931</v>
      </c>
      <c r="AJ7" s="60">
        <f t="shared" si="9"/>
        <v>214110.51408217862</v>
      </c>
      <c r="AK7" s="60">
        <f t="shared" si="10"/>
        <v>4507589.770151129</v>
      </c>
      <c r="AL7" s="11">
        <f t="shared" si="3"/>
        <v>25045.078840101178</v>
      </c>
      <c r="AM7" s="9"/>
      <c r="AO7" s="22">
        <f>[1]საპენსიო!D6</f>
        <v>57.986040609137056</v>
      </c>
      <c r="AP7" s="22">
        <f>[1]შშმპ!D4</f>
        <v>62</v>
      </c>
      <c r="AQ7" s="23">
        <f t="shared" si="11"/>
        <v>59.993020304568532</v>
      </c>
      <c r="AR7" s="23">
        <f t="shared" si="12"/>
        <v>14.998255076142133</v>
      </c>
      <c r="AS7" s="23">
        <f t="shared" si="13"/>
        <v>179.97906091370561</v>
      </c>
      <c r="AT7" s="9"/>
      <c r="AU7" s="21">
        <v>6776</v>
      </c>
      <c r="AV7" s="24">
        <f t="shared" si="4"/>
        <v>451.78588879840078</v>
      </c>
    </row>
    <row r="8" spans="1:48" ht="30" customHeight="1">
      <c r="A8" s="25">
        <v>5</v>
      </c>
      <c r="B8" s="14" t="s">
        <v>45</v>
      </c>
      <c r="C8" s="25" t="s">
        <v>46</v>
      </c>
      <c r="D8" s="29" t="s">
        <v>47</v>
      </c>
      <c r="E8" s="16">
        <f t="shared" si="0"/>
        <v>12809.8</v>
      </c>
      <c r="F8" s="16">
        <f t="shared" si="1"/>
        <v>16399.375</v>
      </c>
      <c r="G8" s="16">
        <f t="shared" si="5"/>
        <v>36643.75</v>
      </c>
      <c r="H8" s="16">
        <f t="shared" si="6"/>
        <v>40709</v>
      </c>
      <c r="I8" s="17">
        <v>35172</v>
      </c>
      <c r="J8" s="17">
        <f>14677+300</f>
        <v>14977</v>
      </c>
      <c r="K8" s="17">
        <f>7169</f>
        <v>7169</v>
      </c>
      <c r="L8" s="17">
        <f>16509</f>
        <v>16509</v>
      </c>
      <c r="M8" s="17">
        <v>14056</v>
      </c>
      <c r="N8" s="17">
        <f>11338</f>
        <v>11338</v>
      </c>
      <c r="O8" s="17">
        <v>15140</v>
      </c>
      <c r="P8" s="17">
        <v>16835</v>
      </c>
      <c r="Q8" s="17">
        <v>15104</v>
      </c>
      <c r="R8" s="17">
        <v>15293</v>
      </c>
      <c r="S8" s="17">
        <v>18158</v>
      </c>
      <c r="T8" s="17">
        <v>14011</v>
      </c>
      <c r="U8" s="17">
        <v>19170</v>
      </c>
      <c r="V8" s="17">
        <v>17484</v>
      </c>
      <c r="W8" s="17">
        <v>31052</v>
      </c>
      <c r="X8" s="17">
        <v>40073</v>
      </c>
      <c r="Y8" s="17">
        <v>38322</v>
      </c>
      <c r="Z8" s="17">
        <v>37128</v>
      </c>
      <c r="AA8" s="17">
        <v>38507</v>
      </c>
      <c r="AB8" s="18">
        <v>37090</v>
      </c>
      <c r="AC8" s="18">
        <v>43811</v>
      </c>
      <c r="AD8" s="18">
        <v>43428</v>
      </c>
      <c r="AE8" s="18">
        <v>48226</v>
      </c>
      <c r="AF8" s="44">
        <f t="shared" si="7"/>
        <v>588053</v>
      </c>
      <c r="AG8" s="32">
        <v>0.1034559</v>
      </c>
      <c r="AH8" s="44">
        <f t="shared" si="2"/>
        <v>60837.5523627</v>
      </c>
      <c r="AI8" s="60">
        <f t="shared" si="8"/>
        <v>1.3106714008902209</v>
      </c>
      <c r="AJ8" s="60">
        <f t="shared" si="9"/>
        <v>262134.28017804417</v>
      </c>
      <c r="AK8" s="60">
        <f t="shared" si="10"/>
        <v>2533777.9689514483</v>
      </c>
      <c r="AL8" s="11">
        <f t="shared" si="3"/>
        <v>9816.9955592418937</v>
      </c>
      <c r="AM8" s="9"/>
      <c r="AO8" s="22">
        <f>[1]საპენსიო!D7</f>
        <v>84.567441860465109</v>
      </c>
      <c r="AP8" s="22">
        <f>[1]შშმპ!D5</f>
        <v>87.5</v>
      </c>
      <c r="AQ8" s="23">
        <f t="shared" si="11"/>
        <v>86.033720930232562</v>
      </c>
      <c r="AR8" s="23">
        <f t="shared" si="12"/>
        <v>21.50843023255814</v>
      </c>
      <c r="AS8" s="23">
        <f t="shared" si="13"/>
        <v>258.10116279069769</v>
      </c>
      <c r="AT8" s="9"/>
      <c r="AU8" s="21">
        <v>516988</v>
      </c>
      <c r="AV8" s="24">
        <f t="shared" si="4"/>
        <v>24036.528673181147</v>
      </c>
    </row>
    <row r="9" spans="1:48" ht="25.5" customHeight="1">
      <c r="A9" s="25">
        <v>6</v>
      </c>
      <c r="B9" s="25" t="s">
        <v>48</v>
      </c>
      <c r="C9" s="25" t="s">
        <v>49</v>
      </c>
      <c r="D9" s="31" t="s">
        <v>44</v>
      </c>
      <c r="E9" s="16">
        <f t="shared" si="0"/>
        <v>3011.4</v>
      </c>
      <c r="F9" s="16">
        <f t="shared" si="1"/>
        <v>3165.375</v>
      </c>
      <c r="G9" s="16">
        <f t="shared" si="5"/>
        <v>8302.5</v>
      </c>
      <c r="H9" s="16">
        <f t="shared" si="6"/>
        <v>10258.5</v>
      </c>
      <c r="I9" s="17">
        <v>0</v>
      </c>
      <c r="J9" s="17">
        <v>2759</v>
      </c>
      <c r="K9" s="17">
        <v>3999</v>
      </c>
      <c r="L9" s="17">
        <f>2385</f>
        <v>2385</v>
      </c>
      <c r="M9" s="17">
        <v>2844</v>
      </c>
      <c r="N9" s="17">
        <f>3070</f>
        <v>3070</v>
      </c>
      <c r="O9" s="17">
        <v>2441</v>
      </c>
      <c r="P9" s="17">
        <v>2913</v>
      </c>
      <c r="Q9" s="17">
        <v>3614</v>
      </c>
      <c r="R9" s="17">
        <v>3529</v>
      </c>
      <c r="S9" s="17">
        <v>3254</v>
      </c>
      <c r="T9" s="17">
        <v>3147</v>
      </c>
      <c r="U9" s="17">
        <v>3592</v>
      </c>
      <c r="V9" s="17">
        <v>2833</v>
      </c>
      <c r="W9" s="17">
        <v>8669</v>
      </c>
      <c r="X9" s="17">
        <v>7654</v>
      </c>
      <c r="Y9" s="17">
        <v>7780</v>
      </c>
      <c r="Z9" s="17">
        <v>9107</v>
      </c>
      <c r="AA9" s="17">
        <v>9951</v>
      </c>
      <c r="AB9" s="18">
        <v>10209</v>
      </c>
      <c r="AC9" s="18">
        <v>10994</v>
      </c>
      <c r="AD9" s="18">
        <v>9880</v>
      </c>
      <c r="AE9" s="18">
        <v>10121</v>
      </c>
      <c r="AF9" s="44">
        <f t="shared" si="7"/>
        <v>124745</v>
      </c>
      <c r="AG9" s="30">
        <v>0.188</v>
      </c>
      <c r="AH9" s="44">
        <f t="shared" si="2"/>
        <v>23452.06</v>
      </c>
      <c r="AI9" s="60">
        <f t="shared" si="8"/>
        <v>0.50524623592199613</v>
      </c>
      <c r="AJ9" s="60">
        <f t="shared" si="9"/>
        <v>101049.24718439924</v>
      </c>
      <c r="AK9" s="60">
        <f t="shared" si="10"/>
        <v>537495.99566169805</v>
      </c>
      <c r="AL9" s="11">
        <f t="shared" si="3"/>
        <v>1852.3094365972636</v>
      </c>
      <c r="AM9" s="9"/>
      <c r="AO9" s="22">
        <f>[1]საპენსიო!D15</f>
        <v>77.575757575757578</v>
      </c>
      <c r="AP9" s="22">
        <f>[1]შშმპ!D15</f>
        <v>115.875</v>
      </c>
      <c r="AQ9" s="23">
        <f t="shared" si="11"/>
        <v>96.725378787878782</v>
      </c>
      <c r="AR9" s="23">
        <f t="shared" si="12"/>
        <v>24.181344696969695</v>
      </c>
      <c r="AS9" s="23">
        <f t="shared" si="13"/>
        <v>290.17613636363637</v>
      </c>
      <c r="AT9" s="9"/>
      <c r="AU9" s="21">
        <v>27649</v>
      </c>
      <c r="AV9" s="24">
        <f t="shared" si="4"/>
        <v>1143.4020872902431</v>
      </c>
    </row>
    <row r="10" spans="1:48" ht="24.75" customHeight="1">
      <c r="A10" s="25">
        <v>7</v>
      </c>
      <c r="B10" s="25" t="s">
        <v>50</v>
      </c>
      <c r="C10" s="25" t="s">
        <v>51</v>
      </c>
      <c r="D10" s="31" t="s">
        <v>52</v>
      </c>
      <c r="E10" s="16">
        <f t="shared" si="0"/>
        <v>20840.8</v>
      </c>
      <c r="F10" s="16">
        <f t="shared" si="1"/>
        <v>29990.375</v>
      </c>
      <c r="G10" s="16">
        <f t="shared" si="5"/>
        <v>66727.75</v>
      </c>
      <c r="H10" s="16">
        <f t="shared" si="6"/>
        <v>75478</v>
      </c>
      <c r="I10" s="17">
        <v>56943</v>
      </c>
      <c r="J10" s="17">
        <v>22075</v>
      </c>
      <c r="K10" s="17">
        <v>12111</v>
      </c>
      <c r="L10" s="17">
        <f>26890</f>
        <v>26890</v>
      </c>
      <c r="M10" s="17">
        <v>24446</v>
      </c>
      <c r="N10" s="17">
        <f>18682</f>
        <v>18682</v>
      </c>
      <c r="O10" s="17">
        <v>27577</v>
      </c>
      <c r="P10" s="17">
        <v>31298</v>
      </c>
      <c r="Q10" s="17">
        <v>24233</v>
      </c>
      <c r="R10" s="17">
        <v>30732</v>
      </c>
      <c r="S10" s="17">
        <v>32988</v>
      </c>
      <c r="T10" s="17">
        <v>26408</v>
      </c>
      <c r="U10" s="17">
        <v>34308</v>
      </c>
      <c r="V10" s="17">
        <v>32379</v>
      </c>
      <c r="W10" s="17">
        <v>57431</v>
      </c>
      <c r="X10" s="17">
        <v>72802</v>
      </c>
      <c r="Y10" s="17">
        <v>68970</v>
      </c>
      <c r="Z10" s="17">
        <v>67708</v>
      </c>
      <c r="AA10" s="17">
        <v>74700</v>
      </c>
      <c r="AB10" s="28">
        <v>74139</v>
      </c>
      <c r="AC10" s="28">
        <v>76518</v>
      </c>
      <c r="AD10" s="28">
        <v>76555</v>
      </c>
      <c r="AE10" s="28">
        <v>91362</v>
      </c>
      <c r="AF10" s="44">
        <f t="shared" si="7"/>
        <v>1061255</v>
      </c>
      <c r="AG10" s="30">
        <v>6.6000000000000003E-2</v>
      </c>
      <c r="AH10" s="44">
        <f t="shared" si="2"/>
        <v>70042.83</v>
      </c>
      <c r="AI10" s="60">
        <f t="shared" si="8"/>
        <v>1.5089879614338471</v>
      </c>
      <c r="AJ10" s="60">
        <f t="shared" si="9"/>
        <v>301797.59228676942</v>
      </c>
      <c r="AK10" s="60">
        <f t="shared" si="10"/>
        <v>4572690.7922237786</v>
      </c>
      <c r="AL10" s="11">
        <f t="shared" si="3"/>
        <v>12428.901304249101</v>
      </c>
      <c r="AM10" s="9"/>
      <c r="AO10" s="22">
        <f>[1]საპენსიო!D8</f>
        <v>117.69565217391305</v>
      </c>
      <c r="AP10" s="22">
        <f>[1]შშმპ!D11</f>
        <v>127.57627118644068</v>
      </c>
      <c r="AQ10" s="23">
        <f t="shared" si="11"/>
        <v>122.63596168017686</v>
      </c>
      <c r="AR10" s="23">
        <f t="shared" si="12"/>
        <v>30.658990420044216</v>
      </c>
      <c r="AS10" s="23">
        <f t="shared" si="13"/>
        <v>367.90788504053057</v>
      </c>
      <c r="AT10" s="9"/>
      <c r="AU10" s="21">
        <v>1682441</v>
      </c>
      <c r="AV10" s="24">
        <f t="shared" si="4"/>
        <v>54875.942650089833</v>
      </c>
    </row>
    <row r="11" spans="1:48" ht="25.5" customHeight="1">
      <c r="A11" s="25">
        <v>8</v>
      </c>
      <c r="B11" s="25" t="s">
        <v>53</v>
      </c>
      <c r="C11" s="25" t="s">
        <v>54</v>
      </c>
      <c r="D11" s="33" t="s">
        <v>55</v>
      </c>
      <c r="E11" s="16">
        <f t="shared" si="0"/>
        <v>32143.4</v>
      </c>
      <c r="F11" s="16">
        <f t="shared" si="1"/>
        <v>38286.375</v>
      </c>
      <c r="G11" s="16">
        <f t="shared" si="5"/>
        <v>70734.5</v>
      </c>
      <c r="H11" s="16">
        <f t="shared" si="6"/>
        <v>79779</v>
      </c>
      <c r="I11" s="17">
        <v>37254</v>
      </c>
      <c r="J11" s="17">
        <v>49150</v>
      </c>
      <c r="K11" s="17">
        <f>668+13686+92+5642</f>
        <v>20088</v>
      </c>
      <c r="L11" s="17">
        <f>1102+11045+1028+18908</f>
        <v>32083</v>
      </c>
      <c r="M11" s="17">
        <v>34438</v>
      </c>
      <c r="N11" s="17">
        <f>1174+18698+5086</f>
        <v>24958</v>
      </c>
      <c r="O11" s="17">
        <v>30837</v>
      </c>
      <c r="P11" s="17">
        <v>39593</v>
      </c>
      <c r="Q11" s="17">
        <v>35795</v>
      </c>
      <c r="R11" s="17">
        <v>32955</v>
      </c>
      <c r="S11" s="17">
        <v>48160</v>
      </c>
      <c r="T11" s="17">
        <v>37230</v>
      </c>
      <c r="U11" s="17">
        <v>39410</v>
      </c>
      <c r="V11" s="17">
        <v>42311</v>
      </c>
      <c r="W11" s="17">
        <v>66372</v>
      </c>
      <c r="X11" s="17">
        <v>80964</v>
      </c>
      <c r="Y11" s="17">
        <v>75701</v>
      </c>
      <c r="Z11" s="17">
        <v>59901</v>
      </c>
      <c r="AA11" s="17">
        <v>72905</v>
      </c>
      <c r="AB11" s="18">
        <v>81999</v>
      </c>
      <c r="AC11" s="18">
        <v>83146</v>
      </c>
      <c r="AD11" s="18">
        <v>81066</v>
      </c>
      <c r="AE11" s="18">
        <v>98328</v>
      </c>
      <c r="AF11" s="44">
        <f t="shared" si="7"/>
        <v>1204644</v>
      </c>
      <c r="AG11" s="30">
        <v>0.155</v>
      </c>
      <c r="AH11" s="44">
        <f t="shared" si="2"/>
        <v>186719.82</v>
      </c>
      <c r="AI11" s="60">
        <f t="shared" si="8"/>
        <v>4.0226524333910385</v>
      </c>
      <c r="AJ11" s="60">
        <f t="shared" si="9"/>
        <v>804530.48667820764</v>
      </c>
      <c r="AK11" s="60">
        <f t="shared" si="10"/>
        <v>5190519.2688916624</v>
      </c>
      <c r="AL11" s="11">
        <f t="shared" si="3"/>
        <v>21702.033781320806</v>
      </c>
      <c r="AM11" s="9"/>
      <c r="AO11" s="22">
        <f>[1]საპენსიო!D14</f>
        <v>77.405156537753228</v>
      </c>
      <c r="AP11" s="22">
        <f>[1]შშმპ!D14</f>
        <v>82.042857142857144</v>
      </c>
      <c r="AQ11" s="23">
        <f t="shared" si="11"/>
        <v>79.724006840305179</v>
      </c>
      <c r="AR11" s="23">
        <f t="shared" si="12"/>
        <v>19.931001710076295</v>
      </c>
      <c r="AS11" s="23">
        <f t="shared" si="13"/>
        <v>239.17202052091554</v>
      </c>
      <c r="AT11" s="9"/>
      <c r="AU11" s="21">
        <v>124143</v>
      </c>
      <c r="AV11" s="24">
        <f t="shared" si="4"/>
        <v>6228.6382694572949</v>
      </c>
    </row>
    <row r="12" spans="1:48" ht="40.5" customHeight="1">
      <c r="A12" s="25">
        <v>9</v>
      </c>
      <c r="B12" s="25" t="s">
        <v>56</v>
      </c>
      <c r="C12" s="25" t="s">
        <v>57</v>
      </c>
      <c r="D12" s="33" t="s">
        <v>58</v>
      </c>
      <c r="E12" s="16">
        <f t="shared" si="0"/>
        <v>15407.6</v>
      </c>
      <c r="F12" s="16">
        <f t="shared" si="1"/>
        <v>17747.875</v>
      </c>
      <c r="G12" s="16">
        <f t="shared" si="5"/>
        <v>32779.25</v>
      </c>
      <c r="H12" s="16">
        <f t="shared" si="6"/>
        <v>34241.25</v>
      </c>
      <c r="I12" s="17">
        <v>39979</v>
      </c>
      <c r="J12" s="17">
        <f>2529+14404+837+2536</f>
        <v>20306</v>
      </c>
      <c r="K12" s="17">
        <f>1774+7298+1212+1147</f>
        <v>11431</v>
      </c>
      <c r="L12" s="17">
        <f>2120+11319+1962+1944</f>
        <v>17345</v>
      </c>
      <c r="M12" s="17">
        <v>15502</v>
      </c>
      <c r="N12" s="17">
        <f>1800+7254+2436+964</f>
        <v>12454</v>
      </c>
      <c r="O12" s="17">
        <v>17248</v>
      </c>
      <c r="P12" s="17">
        <v>20487</v>
      </c>
      <c r="Q12" s="17">
        <v>14079</v>
      </c>
      <c r="R12" s="17">
        <v>18864</v>
      </c>
      <c r="S12" s="17">
        <v>19832</v>
      </c>
      <c r="T12" s="17">
        <v>13412</v>
      </c>
      <c r="U12" s="17">
        <v>19005</v>
      </c>
      <c r="V12" s="17">
        <v>19056</v>
      </c>
      <c r="W12" s="17">
        <v>32198</v>
      </c>
      <c r="X12" s="17">
        <v>38592</v>
      </c>
      <c r="Y12" s="17">
        <v>33194</v>
      </c>
      <c r="Z12" s="17">
        <v>27133</v>
      </c>
      <c r="AA12" s="17">
        <v>34869</v>
      </c>
      <c r="AB12" s="18">
        <v>37403</v>
      </c>
      <c r="AC12" s="18">
        <v>32044</v>
      </c>
      <c r="AD12" s="18">
        <v>32649</v>
      </c>
      <c r="AE12" s="18">
        <v>40360</v>
      </c>
      <c r="AF12" s="44">
        <f t="shared" si="7"/>
        <v>567442</v>
      </c>
      <c r="AG12" s="30">
        <v>2.9399999999999999E-2</v>
      </c>
      <c r="AH12" s="44">
        <f t="shared" si="2"/>
        <v>16682.7948</v>
      </c>
      <c r="AI12" s="60">
        <f t="shared" si="8"/>
        <v>0.35941061370979982</v>
      </c>
      <c r="AJ12" s="60">
        <f t="shared" si="9"/>
        <v>71882.12274195996</v>
      </c>
      <c r="AK12" s="60">
        <f t="shared" si="10"/>
        <v>2444970.161291155</v>
      </c>
      <c r="AL12" s="11">
        <f t="shared" si="3"/>
        <v>10784.284676736688</v>
      </c>
      <c r="AM12" s="9"/>
      <c r="AO12" s="22">
        <f>[1]საპენსიო!D9</f>
        <v>70.788461538461533</v>
      </c>
      <c r="AP12" s="22">
        <f>[1]შშმპ!D17</f>
        <v>80.355555555555554</v>
      </c>
      <c r="AQ12" s="23">
        <f t="shared" si="11"/>
        <v>75.572008547008551</v>
      </c>
      <c r="AR12" s="23">
        <f t="shared" si="12"/>
        <v>18.893002136752138</v>
      </c>
      <c r="AS12" s="23">
        <f t="shared" si="13"/>
        <v>226.71602564102565</v>
      </c>
      <c r="AT12" s="9"/>
      <c r="AU12" s="21">
        <v>121039</v>
      </c>
      <c r="AV12" s="24">
        <f t="shared" si="4"/>
        <v>6406.5519669076584</v>
      </c>
    </row>
    <row r="13" spans="1:48" ht="37.5" customHeight="1">
      <c r="A13" s="25">
        <v>10</v>
      </c>
      <c r="B13" s="25" t="s">
        <v>59</v>
      </c>
      <c r="C13" s="25" t="s">
        <v>59</v>
      </c>
      <c r="D13" s="15" t="s">
        <v>60</v>
      </c>
      <c r="E13" s="16">
        <f t="shared" si="0"/>
        <v>8689.4</v>
      </c>
      <c r="F13" s="16">
        <f t="shared" si="1"/>
        <v>13555.5</v>
      </c>
      <c r="G13" s="16">
        <f t="shared" si="5"/>
        <v>24737.25</v>
      </c>
      <c r="H13" s="16">
        <f t="shared" si="6"/>
        <v>28414</v>
      </c>
      <c r="I13" s="17">
        <v>0</v>
      </c>
      <c r="J13" s="17">
        <v>0</v>
      </c>
      <c r="K13" s="17">
        <v>7868</v>
      </c>
      <c r="L13" s="17">
        <f>14375</f>
        <v>14375</v>
      </c>
      <c r="M13" s="17">
        <v>11156</v>
      </c>
      <c r="N13" s="17">
        <f>10048</f>
        <v>10048</v>
      </c>
      <c r="O13" s="17">
        <v>12392</v>
      </c>
      <c r="P13" s="17">
        <v>14103</v>
      </c>
      <c r="Q13" s="17">
        <v>13297</v>
      </c>
      <c r="R13" s="17">
        <v>12604</v>
      </c>
      <c r="S13" s="17">
        <v>14359</v>
      </c>
      <c r="T13" s="17">
        <v>12716</v>
      </c>
      <c r="U13" s="17">
        <v>14051</v>
      </c>
      <c r="V13" s="17">
        <v>14922</v>
      </c>
      <c r="W13" s="17">
        <v>22164</v>
      </c>
      <c r="X13" s="17">
        <v>27374</v>
      </c>
      <c r="Y13" s="17">
        <v>25245</v>
      </c>
      <c r="Z13" s="17">
        <v>24166</v>
      </c>
      <c r="AA13" s="17">
        <v>27361</v>
      </c>
      <c r="AB13" s="18">
        <v>28311</v>
      </c>
      <c r="AC13" s="18">
        <v>29744</v>
      </c>
      <c r="AD13" s="18">
        <v>28240</v>
      </c>
      <c r="AE13" s="18">
        <v>39522</v>
      </c>
      <c r="AF13" s="44">
        <f t="shared" si="7"/>
        <v>404018</v>
      </c>
      <c r="AG13" s="26">
        <v>6.1499999999999999E-2</v>
      </c>
      <c r="AH13" s="44">
        <f t="shared" si="2"/>
        <v>24847.107</v>
      </c>
      <c r="AI13" s="60">
        <f t="shared" si="8"/>
        <v>0.53530083435319031</v>
      </c>
      <c r="AJ13" s="60">
        <f t="shared" si="9"/>
        <v>107060.16687063806</v>
      </c>
      <c r="AK13" s="60">
        <f t="shared" si="10"/>
        <v>1740815.7214737895</v>
      </c>
      <c r="AL13" s="11">
        <f t="shared" si="3"/>
        <v>14685.77528046845</v>
      </c>
      <c r="AM13" s="9"/>
      <c r="AO13" s="22">
        <f>[1]საპენსიო!D16</f>
        <v>39.715504978662871</v>
      </c>
      <c r="AP13" s="22">
        <f>[1]შშმპ!D13</f>
        <v>39.30952380952381</v>
      </c>
      <c r="AQ13" s="23">
        <f t="shared" si="11"/>
        <v>39.512514394093344</v>
      </c>
      <c r="AR13" s="23">
        <f t="shared" si="12"/>
        <v>9.878128598523336</v>
      </c>
      <c r="AS13" s="23">
        <f t="shared" si="13"/>
        <v>118.53754318228003</v>
      </c>
      <c r="AT13" s="9"/>
      <c r="AU13" s="21">
        <v>845871</v>
      </c>
      <c r="AV13" s="24">
        <f t="shared" si="4"/>
        <v>85630.693259697771</v>
      </c>
    </row>
    <row r="14" spans="1:48" ht="51" customHeight="1">
      <c r="A14" s="25">
        <v>11</v>
      </c>
      <c r="B14" s="25" t="s">
        <v>61</v>
      </c>
      <c r="C14" s="25" t="s">
        <v>62</v>
      </c>
      <c r="D14" s="15" t="s">
        <v>63</v>
      </c>
      <c r="E14" s="16">
        <f t="shared" si="0"/>
        <v>44384.4</v>
      </c>
      <c r="F14" s="16">
        <f t="shared" si="1"/>
        <v>58376</v>
      </c>
      <c r="G14" s="16">
        <f t="shared" si="5"/>
        <v>107546.25</v>
      </c>
      <c r="H14" s="16">
        <f t="shared" si="6"/>
        <v>119633.25</v>
      </c>
      <c r="I14" s="17">
        <v>116872</v>
      </c>
      <c r="J14" s="17">
        <v>54518</v>
      </c>
      <c r="K14" s="17">
        <f>368+9138+18725</f>
        <v>28231</v>
      </c>
      <c r="L14" s="17">
        <f>504+13261+39087</f>
        <v>52852</v>
      </c>
      <c r="M14" s="17">
        <v>49931</v>
      </c>
      <c r="N14" s="17">
        <f>10476+25914</f>
        <v>36390</v>
      </c>
      <c r="O14" s="17">
        <v>53175</v>
      </c>
      <c r="P14" s="17">
        <v>16046</v>
      </c>
      <c r="Q14" s="17">
        <v>97151</v>
      </c>
      <c r="R14" s="17">
        <v>57469</v>
      </c>
      <c r="S14" s="17">
        <v>66296</v>
      </c>
      <c r="T14" s="17">
        <v>51563</v>
      </c>
      <c r="U14" s="17">
        <v>64649</v>
      </c>
      <c r="V14" s="17">
        <v>60659</v>
      </c>
      <c r="W14" s="17">
        <v>97657</v>
      </c>
      <c r="X14" s="17">
        <v>118246</v>
      </c>
      <c r="Y14" s="17">
        <v>107252</v>
      </c>
      <c r="Z14" s="17">
        <v>107030</v>
      </c>
      <c r="AA14" s="17">
        <v>117604</v>
      </c>
      <c r="AB14" s="18">
        <v>114148</v>
      </c>
      <c r="AC14" s="18">
        <v>124387</v>
      </c>
      <c r="AD14" s="18">
        <v>122394</v>
      </c>
      <c r="AE14" s="18">
        <v>150475</v>
      </c>
      <c r="AF14" s="44">
        <f t="shared" si="7"/>
        <v>1864995</v>
      </c>
      <c r="AG14" s="26">
        <v>0.1205</v>
      </c>
      <c r="AH14" s="44">
        <f t="shared" si="2"/>
        <v>224731.89749999999</v>
      </c>
      <c r="AI14" s="60">
        <f t="shared" si="8"/>
        <v>4.8415766164457548</v>
      </c>
      <c r="AJ14" s="60">
        <f t="shared" si="9"/>
        <v>968315.32328915084</v>
      </c>
      <c r="AK14" s="60">
        <f t="shared" si="10"/>
        <v>8035811.8115282226</v>
      </c>
      <c r="AL14" s="11">
        <f t="shared" si="3"/>
        <v>27182.84815626407</v>
      </c>
      <c r="AM14" s="9"/>
      <c r="AO14" s="22">
        <f>[1]საპენსიო!D10</f>
        <v>93.378066378066379</v>
      </c>
      <c r="AP14" s="22">
        <f>[1]შშმპ!D12</f>
        <v>103.70238095238095</v>
      </c>
      <c r="AQ14" s="23">
        <f t="shared" si="11"/>
        <v>98.540223665223664</v>
      </c>
      <c r="AR14" s="23">
        <f t="shared" si="12"/>
        <v>24.635055916305916</v>
      </c>
      <c r="AS14" s="23">
        <f t="shared" si="13"/>
        <v>295.62067099567099</v>
      </c>
      <c r="AT14" s="9"/>
      <c r="AU14" s="21">
        <v>759525</v>
      </c>
      <c r="AV14" s="24">
        <f t="shared" si="4"/>
        <v>30831.064584565091</v>
      </c>
    </row>
    <row r="15" spans="1:48" ht="46.5" customHeight="1">
      <c r="A15" s="25">
        <v>12</v>
      </c>
      <c r="B15" s="25" t="s">
        <v>64</v>
      </c>
      <c r="C15" s="25" t="s">
        <v>65</v>
      </c>
      <c r="D15" s="33" t="s">
        <v>66</v>
      </c>
      <c r="E15" s="16">
        <f t="shared" si="0"/>
        <v>48634.2</v>
      </c>
      <c r="F15" s="16">
        <f t="shared" si="1"/>
        <v>66894.25</v>
      </c>
      <c r="G15" s="16">
        <f t="shared" si="5"/>
        <v>100176.75</v>
      </c>
      <c r="H15" s="16">
        <f t="shared" si="6"/>
        <v>128898.75</v>
      </c>
      <c r="I15" s="17">
        <v>70352</v>
      </c>
      <c r="J15" s="17">
        <f>57648</f>
        <v>57648</v>
      </c>
      <c r="K15" s="17">
        <f>32988</f>
        <v>32988</v>
      </c>
      <c r="L15" s="17">
        <f>52491</f>
        <v>52491</v>
      </c>
      <c r="M15" s="17">
        <v>57398</v>
      </c>
      <c r="N15" s="17">
        <f>42646</f>
        <v>42646</v>
      </c>
      <c r="O15" s="17">
        <v>55777</v>
      </c>
      <c r="P15" s="17">
        <v>67473</v>
      </c>
      <c r="Q15" s="17">
        <v>63449</v>
      </c>
      <c r="R15" s="17">
        <v>61564</v>
      </c>
      <c r="S15" s="17">
        <v>82603</v>
      </c>
      <c r="T15" s="17">
        <v>62189</v>
      </c>
      <c r="U15" s="17">
        <v>68137</v>
      </c>
      <c r="V15" s="17">
        <v>73962</v>
      </c>
      <c r="W15" s="17">
        <v>131382</v>
      </c>
      <c r="X15" s="17">
        <v>164451</v>
      </c>
      <c r="Y15" s="17">
        <v>89377</v>
      </c>
      <c r="Z15" s="17">
        <v>15497</v>
      </c>
      <c r="AA15" s="17">
        <v>88710</v>
      </c>
      <c r="AB15" s="18">
        <v>128733</v>
      </c>
      <c r="AC15" s="18">
        <v>149378</v>
      </c>
      <c r="AD15" s="18">
        <v>148774</v>
      </c>
      <c r="AE15" s="18">
        <v>155852</v>
      </c>
      <c r="AF15" s="44">
        <f t="shared" si="7"/>
        <v>1920831</v>
      </c>
      <c r="AG15" s="34">
        <v>0.09</v>
      </c>
      <c r="AH15" s="44">
        <f t="shared" si="2"/>
        <v>172874.78999999998</v>
      </c>
      <c r="AI15" s="60">
        <f t="shared" si="8"/>
        <v>3.7243780262077411</v>
      </c>
      <c r="AJ15" s="60">
        <f t="shared" si="9"/>
        <v>744875.60524154827</v>
      </c>
      <c r="AK15" s="60">
        <f t="shared" si="10"/>
        <v>8276395.6137949815</v>
      </c>
      <c r="AL15" s="11">
        <f t="shared" si="3"/>
        <v>37913.503760028107</v>
      </c>
      <c r="AM15" s="9"/>
      <c r="AO15" s="22">
        <f>[1]საპენსიო!D12</f>
        <v>70.693345742205679</v>
      </c>
      <c r="AP15" s="22">
        <f>[1]შშმპ!D7</f>
        <v>74.837837837837839</v>
      </c>
      <c r="AQ15" s="23">
        <f t="shared" si="11"/>
        <v>72.765591790021759</v>
      </c>
      <c r="AR15" s="23">
        <f t="shared" si="12"/>
        <v>18.19139794750544</v>
      </c>
      <c r="AS15" s="23">
        <f t="shared" si="13"/>
        <v>218.29677537006529</v>
      </c>
      <c r="AT15" s="9"/>
      <c r="AU15" s="21">
        <v>156923</v>
      </c>
      <c r="AV15" s="24">
        <f t="shared" si="4"/>
        <v>8626.219955873079</v>
      </c>
    </row>
    <row r="16" spans="1:48" ht="46.5" customHeight="1">
      <c r="A16" s="25">
        <v>13</v>
      </c>
      <c r="B16" s="25" t="s">
        <v>67</v>
      </c>
      <c r="C16" s="25" t="s">
        <v>67</v>
      </c>
      <c r="D16" s="33" t="s">
        <v>68</v>
      </c>
      <c r="E16" s="16"/>
      <c r="F16" s="16"/>
      <c r="G16" s="16">
        <f t="shared" si="5"/>
        <v>99656.5</v>
      </c>
      <c r="H16" s="16">
        <f t="shared" si="6"/>
        <v>67065.75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>
        <v>0</v>
      </c>
      <c r="Z16" s="17">
        <v>199313</v>
      </c>
      <c r="AA16" s="17">
        <v>138489</v>
      </c>
      <c r="AB16" s="18">
        <v>43957</v>
      </c>
      <c r="AC16" s="18">
        <v>53947</v>
      </c>
      <c r="AD16" s="18">
        <v>31870</v>
      </c>
      <c r="AE16" s="18">
        <v>55468</v>
      </c>
      <c r="AF16" s="44">
        <f t="shared" si="7"/>
        <v>523044</v>
      </c>
      <c r="AG16" s="34">
        <v>0.105</v>
      </c>
      <c r="AH16" s="44">
        <f t="shared" si="2"/>
        <v>54919.619999999995</v>
      </c>
      <c r="AI16" s="60">
        <f t="shared" si="8"/>
        <v>1.1831767138266902</v>
      </c>
      <c r="AJ16" s="60">
        <f t="shared" si="9"/>
        <v>236635.34276533805</v>
      </c>
      <c r="AK16" s="60">
        <f t="shared" si="10"/>
        <v>2253669.9310984579</v>
      </c>
      <c r="AL16" s="11">
        <f t="shared" si="3"/>
        <v>7647.9023258462203</v>
      </c>
      <c r="AM16" s="9"/>
      <c r="AO16" s="22">
        <f>[1]საპენსიო!D11</f>
        <v>97.300604229607245</v>
      </c>
      <c r="AP16" s="22">
        <f>[1]შშმპ!D6</f>
        <v>99.151515151515156</v>
      </c>
      <c r="AQ16" s="23">
        <f t="shared" si="11"/>
        <v>98.2260596905612</v>
      </c>
      <c r="AR16" s="23">
        <f t="shared" si="12"/>
        <v>24.5565149226403</v>
      </c>
      <c r="AS16" s="23">
        <f t="shared" si="13"/>
        <v>294.67817907168359</v>
      </c>
      <c r="AT16" s="9"/>
      <c r="AU16" s="21">
        <v>1735389</v>
      </c>
      <c r="AV16" s="24">
        <f t="shared" si="4"/>
        <v>70669.189234178673</v>
      </c>
    </row>
    <row r="17" spans="1:48" ht="46.5" customHeight="1">
      <c r="A17" s="25">
        <v>14</v>
      </c>
      <c r="B17" s="25" t="s">
        <v>69</v>
      </c>
      <c r="C17" s="25" t="s">
        <v>70</v>
      </c>
      <c r="D17" s="33" t="s">
        <v>71</v>
      </c>
      <c r="E17" s="16"/>
      <c r="F17" s="16"/>
      <c r="G17" s="16">
        <f t="shared" si="5"/>
        <v>5203.5</v>
      </c>
      <c r="H17" s="16">
        <f t="shared" si="6"/>
        <v>13615.75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>
        <v>0</v>
      </c>
      <c r="Z17" s="17">
        <v>10407</v>
      </c>
      <c r="AA17" s="17">
        <v>11936</v>
      </c>
      <c r="AB17" s="18">
        <v>13690</v>
      </c>
      <c r="AC17" s="18">
        <v>14570</v>
      </c>
      <c r="AD17" s="18">
        <v>14267</v>
      </c>
      <c r="AE17" s="18">
        <v>26388</v>
      </c>
      <c r="AF17" s="44">
        <f t="shared" si="7"/>
        <v>91258</v>
      </c>
      <c r="AG17" s="35">
        <v>0.23400000000000001</v>
      </c>
      <c r="AH17" s="44">
        <f t="shared" si="2"/>
        <v>21354.372000000003</v>
      </c>
      <c r="AI17" s="60">
        <f t="shared" si="8"/>
        <v>0.46005408793419716</v>
      </c>
      <c r="AJ17" s="60">
        <f t="shared" si="9"/>
        <v>92010.817586839446</v>
      </c>
      <c r="AK17" s="60">
        <f t="shared" si="10"/>
        <v>393208.62216598052</v>
      </c>
      <c r="AL17" s="11">
        <f t="shared" si="3"/>
        <v>3737.3012049287227</v>
      </c>
      <c r="AM17" s="9"/>
      <c r="AO17" s="22">
        <f>[1]საპენსიო!D13</f>
        <v>37.95945945945946</v>
      </c>
      <c r="AP17" s="22">
        <f>[1]შშმპ!D8</f>
        <v>32.18181818181818</v>
      </c>
      <c r="AQ17" s="23">
        <f t="shared" si="11"/>
        <v>35.07063882063882</v>
      </c>
      <c r="AR17" s="23">
        <f t="shared" si="12"/>
        <v>8.7676597051597049</v>
      </c>
      <c r="AS17" s="23">
        <f t="shared" si="13"/>
        <v>105.21191646191646</v>
      </c>
      <c r="AT17" s="9"/>
      <c r="AU17" s="21">
        <v>408402</v>
      </c>
      <c r="AV17" s="24">
        <f t="shared" si="4"/>
        <v>46580.503091339</v>
      </c>
    </row>
    <row r="18" spans="1:48" ht="46.5" customHeight="1">
      <c r="A18" s="25">
        <v>15</v>
      </c>
      <c r="B18" s="36" t="s">
        <v>72</v>
      </c>
      <c r="C18" s="25" t="s">
        <v>73</v>
      </c>
      <c r="D18" s="33" t="s">
        <v>60</v>
      </c>
      <c r="E18" s="16"/>
      <c r="F18" s="16"/>
      <c r="G18" s="16">
        <f t="shared" si="5"/>
        <v>0</v>
      </c>
      <c r="H18" s="16">
        <f t="shared" si="6"/>
        <v>22701.5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>
        <v>0</v>
      </c>
      <c r="AA18" s="17">
        <v>9963</v>
      </c>
      <c r="AB18" s="18">
        <v>21402</v>
      </c>
      <c r="AC18" s="18">
        <v>23577</v>
      </c>
      <c r="AD18" s="18">
        <v>35864</v>
      </c>
      <c r="AE18" s="18">
        <v>52134</v>
      </c>
      <c r="AF18" s="44">
        <f t="shared" si="7"/>
        <v>142940</v>
      </c>
      <c r="AG18" s="34">
        <v>0.316</v>
      </c>
      <c r="AH18" s="44">
        <f t="shared" si="2"/>
        <v>45169.04</v>
      </c>
      <c r="AI18" s="60">
        <f t="shared" si="8"/>
        <v>0.97311227415459778</v>
      </c>
      <c r="AJ18" s="60">
        <f t="shared" si="9"/>
        <v>194622.45483091954</v>
      </c>
      <c r="AK18" s="60">
        <f t="shared" si="10"/>
        <v>615893.84440164408</v>
      </c>
      <c r="AL18" s="11">
        <f t="shared" si="3"/>
        <v>6843.2649377960452</v>
      </c>
      <c r="AM18" s="9"/>
      <c r="AO18" s="22"/>
      <c r="AP18" s="22">
        <f>[1]შშმპ!D28</f>
        <v>30</v>
      </c>
      <c r="AQ18" s="23">
        <f t="shared" si="11"/>
        <v>30</v>
      </c>
      <c r="AR18" s="23">
        <f t="shared" si="12"/>
        <v>7.5</v>
      </c>
      <c r="AS18" s="23">
        <f t="shared" si="13"/>
        <v>90</v>
      </c>
      <c r="AT18" s="9"/>
      <c r="AU18" s="21">
        <v>743338</v>
      </c>
      <c r="AV18" s="24">
        <f t="shared" si="4"/>
        <v>99111.733333333337</v>
      </c>
    </row>
    <row r="19" spans="1:48" ht="46.5" customHeight="1">
      <c r="A19" s="25">
        <v>16</v>
      </c>
      <c r="B19" s="36" t="s">
        <v>74</v>
      </c>
      <c r="C19" s="25" t="s">
        <v>75</v>
      </c>
      <c r="D19" s="33" t="s">
        <v>60</v>
      </c>
      <c r="E19" s="16"/>
      <c r="F19" s="16"/>
      <c r="G19" s="16">
        <f t="shared" si="5"/>
        <v>92</v>
      </c>
      <c r="H19" s="16">
        <f t="shared" si="6"/>
        <v>41466.75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>
        <v>92</v>
      </c>
      <c r="AA19" s="17">
        <v>18621</v>
      </c>
      <c r="AB19" s="18">
        <v>37794</v>
      </c>
      <c r="AC19" s="18">
        <v>50309</v>
      </c>
      <c r="AD19" s="18">
        <v>59143</v>
      </c>
      <c r="AE19" s="18">
        <v>92878</v>
      </c>
      <c r="AF19" s="44">
        <f t="shared" si="7"/>
        <v>258837</v>
      </c>
      <c r="AG19" s="34">
        <v>0.38</v>
      </c>
      <c r="AH19" s="44">
        <f t="shared" si="2"/>
        <v>98358.06</v>
      </c>
      <c r="AI19" s="60">
        <f t="shared" si="8"/>
        <v>2.1190053064673142</v>
      </c>
      <c r="AJ19" s="60">
        <f t="shared" si="9"/>
        <v>423801.06129346282</v>
      </c>
      <c r="AK19" s="60">
        <f t="shared" si="10"/>
        <v>1115265.9507722706</v>
      </c>
      <c r="AM19" s="9"/>
      <c r="AO19" s="22"/>
      <c r="AP19" s="22"/>
      <c r="AQ19" s="23"/>
      <c r="AR19" s="23">
        <f t="shared" si="12"/>
        <v>0</v>
      </c>
      <c r="AS19" s="23">
        <f t="shared" si="13"/>
        <v>0</v>
      </c>
      <c r="AT19" s="9"/>
      <c r="AU19" s="21">
        <v>851106</v>
      </c>
    </row>
    <row r="20" spans="1:48" ht="46.5" customHeight="1">
      <c r="A20" s="25">
        <v>18</v>
      </c>
      <c r="B20" s="36" t="s">
        <v>76</v>
      </c>
      <c r="C20" s="25" t="s">
        <v>77</v>
      </c>
      <c r="D20" s="33" t="s">
        <v>78</v>
      </c>
      <c r="E20" s="16"/>
      <c r="F20" s="16"/>
      <c r="G20" s="16">
        <f t="shared" si="5"/>
        <v>14476</v>
      </c>
      <c r="H20" s="16">
        <f t="shared" si="6"/>
        <v>83265.75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>
        <v>14476</v>
      </c>
      <c r="AA20" s="17">
        <v>64466</v>
      </c>
      <c r="AB20" s="18">
        <v>102410</v>
      </c>
      <c r="AC20" s="18">
        <v>128627</v>
      </c>
      <c r="AD20" s="18">
        <v>37560</v>
      </c>
      <c r="AE20" s="18">
        <v>1494</v>
      </c>
      <c r="AF20" s="44">
        <f t="shared" si="7"/>
        <v>349033</v>
      </c>
      <c r="AG20" s="26">
        <v>6.7500000000000004E-2</v>
      </c>
      <c r="AH20" s="44">
        <f t="shared" si="2"/>
        <v>23559.727500000001</v>
      </c>
      <c r="AI20" s="60">
        <f t="shared" si="8"/>
        <v>0.50756580184098699</v>
      </c>
      <c r="AJ20" s="60">
        <f t="shared" si="9"/>
        <v>101513.16036819739</v>
      </c>
      <c r="AK20" s="60">
        <f t="shared" si="10"/>
        <v>1503898.6721214429</v>
      </c>
      <c r="AM20" s="9"/>
      <c r="AO20" s="22"/>
      <c r="AP20" s="22"/>
      <c r="AQ20" s="23"/>
      <c r="AR20" s="23">
        <f t="shared" si="12"/>
        <v>0</v>
      </c>
      <c r="AS20" s="23">
        <f t="shared" si="13"/>
        <v>0</v>
      </c>
      <c r="AT20" s="9"/>
      <c r="AU20" s="21">
        <v>1812679</v>
      </c>
    </row>
    <row r="21" spans="1:48" ht="46.5" customHeight="1">
      <c r="A21" s="25">
        <v>19</v>
      </c>
      <c r="B21" s="36" t="s">
        <v>79</v>
      </c>
      <c r="C21" s="25" t="s">
        <v>80</v>
      </c>
      <c r="D21" s="33" t="s">
        <v>81</v>
      </c>
      <c r="E21" s="16"/>
      <c r="F21" s="16"/>
      <c r="G21" s="16">
        <f t="shared" si="5"/>
        <v>152</v>
      </c>
      <c r="H21" s="16">
        <f t="shared" si="6"/>
        <v>34770.75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>
        <v>152</v>
      </c>
      <c r="AA21" s="17">
        <v>19619</v>
      </c>
      <c r="AB21" s="18">
        <v>36603</v>
      </c>
      <c r="AC21" s="18">
        <v>40167</v>
      </c>
      <c r="AD21" s="18">
        <v>42694</v>
      </c>
      <c r="AE21" s="18">
        <v>36242</v>
      </c>
      <c r="AF21" s="44">
        <f t="shared" si="7"/>
        <v>175477</v>
      </c>
      <c r="AG21" s="34">
        <v>0.06</v>
      </c>
      <c r="AH21" s="44">
        <f t="shared" si="2"/>
        <v>10528.619999999999</v>
      </c>
      <c r="AI21" s="60">
        <f t="shared" si="8"/>
        <v>0.22682636938729669</v>
      </c>
      <c r="AJ21" s="60">
        <f t="shared" si="9"/>
        <v>45365.273877459338</v>
      </c>
      <c r="AK21" s="60">
        <f t="shared" si="10"/>
        <v>756087.89795765572</v>
      </c>
      <c r="AL21" s="11">
        <f t="shared" ref="AL21:AL32" si="14">AK21/AS21</f>
        <v>4131.6278576921077</v>
      </c>
      <c r="AM21" s="9"/>
      <c r="AO21" s="22">
        <f>[1]საპენსიო!D29</f>
        <v>61</v>
      </c>
      <c r="AP21" s="22"/>
      <c r="AQ21" s="23">
        <f t="shared" si="11"/>
        <v>61</v>
      </c>
      <c r="AR21" s="23">
        <f t="shared" si="12"/>
        <v>15.25</v>
      </c>
      <c r="AS21" s="23">
        <f t="shared" si="13"/>
        <v>183</v>
      </c>
      <c r="AT21" s="9"/>
      <c r="AU21" s="21">
        <v>1501133</v>
      </c>
    </row>
    <row r="22" spans="1:48" ht="46.5" customHeight="1">
      <c r="A22" s="25">
        <v>20</v>
      </c>
      <c r="B22" s="36" t="s">
        <v>82</v>
      </c>
      <c r="C22" s="36" t="s">
        <v>83</v>
      </c>
      <c r="D22" s="33" t="s">
        <v>78</v>
      </c>
      <c r="E22" s="16"/>
      <c r="F22" s="16"/>
      <c r="G22" s="16">
        <f t="shared" si="5"/>
        <v>5620</v>
      </c>
      <c r="H22" s="16">
        <f t="shared" si="6"/>
        <v>35194.75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>
        <v>5620</v>
      </c>
      <c r="AA22" s="17">
        <v>23666</v>
      </c>
      <c r="AB22" s="18">
        <v>35141</v>
      </c>
      <c r="AC22" s="18">
        <v>40081</v>
      </c>
      <c r="AD22" s="18">
        <v>41891</v>
      </c>
      <c r="AE22" s="18">
        <v>60190</v>
      </c>
      <c r="AF22" s="44">
        <f t="shared" si="7"/>
        <v>206589</v>
      </c>
      <c r="AG22" s="35">
        <v>0.14899999999999999</v>
      </c>
      <c r="AH22" s="44">
        <f t="shared" si="2"/>
        <v>30781.760999999999</v>
      </c>
      <c r="AI22" s="60">
        <f t="shared" si="8"/>
        <v>0.66315576884506078</v>
      </c>
      <c r="AJ22" s="60">
        <f t="shared" si="9"/>
        <v>132631.15376901216</v>
      </c>
      <c r="AK22" s="60">
        <f t="shared" si="10"/>
        <v>890141.97160410846</v>
      </c>
      <c r="AL22" s="11">
        <f t="shared" si="14"/>
        <v>6402.1275965993964</v>
      </c>
      <c r="AM22" s="9"/>
      <c r="AO22" s="22">
        <f>[1]საპენსიო!D35</f>
        <v>54.692307692307693</v>
      </c>
      <c r="AP22" s="22">
        <f>[1]შშმპ!D36</f>
        <v>38</v>
      </c>
      <c r="AQ22" s="23">
        <f t="shared" si="11"/>
        <v>46.346153846153847</v>
      </c>
      <c r="AR22" s="23">
        <f t="shared" si="12"/>
        <v>11.586538461538462</v>
      </c>
      <c r="AS22" s="23">
        <f t="shared" si="13"/>
        <v>139.03846153846155</v>
      </c>
      <c r="AT22" s="9"/>
      <c r="AU22" s="21">
        <v>1800628</v>
      </c>
    </row>
    <row r="23" spans="1:48" ht="46.5" customHeight="1">
      <c r="A23" s="25">
        <v>22</v>
      </c>
      <c r="B23" s="36" t="s">
        <v>84</v>
      </c>
      <c r="C23" s="25" t="s">
        <v>85</v>
      </c>
      <c r="D23" s="33" t="s">
        <v>86</v>
      </c>
      <c r="E23" s="16"/>
      <c r="F23" s="16"/>
      <c r="G23" s="16">
        <f t="shared" si="5"/>
        <v>16901</v>
      </c>
      <c r="H23" s="16">
        <f t="shared" si="6"/>
        <v>132485.75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>
        <v>16901</v>
      </c>
      <c r="AA23" s="17">
        <v>84884</v>
      </c>
      <c r="AB23" s="18">
        <v>131581</v>
      </c>
      <c r="AC23" s="18">
        <v>153370</v>
      </c>
      <c r="AD23" s="18">
        <v>160108</v>
      </c>
      <c r="AE23" s="18">
        <v>232698</v>
      </c>
      <c r="AF23" s="44">
        <f t="shared" si="7"/>
        <v>779542</v>
      </c>
      <c r="AG23" s="34">
        <v>7.2099999999999997E-2</v>
      </c>
      <c r="AH23" s="44">
        <f t="shared" si="2"/>
        <v>56204.978199999998</v>
      </c>
      <c r="AI23" s="60">
        <f t="shared" si="8"/>
        <v>1.2108681998778719</v>
      </c>
      <c r="AJ23" s="60">
        <f t="shared" si="9"/>
        <v>242173.63997557439</v>
      </c>
      <c r="AK23" s="60">
        <f t="shared" si="10"/>
        <v>3358857.6973033897</v>
      </c>
      <c r="AL23" s="11">
        <f t="shared" si="14"/>
        <v>16251.305488294331</v>
      </c>
      <c r="AM23" s="9"/>
      <c r="AO23" s="22">
        <f>[1]საპენსიო!D31</f>
        <v>72.359649122807014</v>
      </c>
      <c r="AP23" s="22">
        <f>[1]შშმპ!D31</f>
        <v>65.428571428571431</v>
      </c>
      <c r="AQ23" s="23">
        <f t="shared" si="11"/>
        <v>68.894110275689229</v>
      </c>
      <c r="AR23" s="23">
        <f t="shared" si="12"/>
        <v>17.223527568922307</v>
      </c>
      <c r="AS23" s="23">
        <f t="shared" si="13"/>
        <v>206.68233082706769</v>
      </c>
      <c r="AT23" s="9"/>
      <c r="AU23" s="21">
        <v>20329792</v>
      </c>
    </row>
    <row r="24" spans="1:48" ht="46.5" customHeight="1">
      <c r="A24" s="25">
        <v>23</v>
      </c>
      <c r="B24" s="36" t="s">
        <v>87</v>
      </c>
      <c r="C24" s="25" t="s">
        <v>88</v>
      </c>
      <c r="D24" s="33" t="s">
        <v>89</v>
      </c>
      <c r="E24" s="16"/>
      <c r="F24" s="16"/>
      <c r="G24" s="16">
        <f t="shared" si="5"/>
        <v>2114</v>
      </c>
      <c r="H24" s="16">
        <f t="shared" si="6"/>
        <v>21529.5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>
        <v>2114</v>
      </c>
      <c r="AA24" s="17">
        <v>15922</v>
      </c>
      <c r="AB24" s="18">
        <v>19185</v>
      </c>
      <c r="AC24" s="18">
        <v>23726</v>
      </c>
      <c r="AD24" s="18">
        <v>27285</v>
      </c>
      <c r="AE24" s="18">
        <v>33975</v>
      </c>
      <c r="AF24" s="44">
        <f t="shared" si="7"/>
        <v>122207</v>
      </c>
      <c r="AG24" s="34">
        <v>0.08</v>
      </c>
      <c r="AH24" s="44">
        <f t="shared" si="2"/>
        <v>9776.56</v>
      </c>
      <c r="AI24" s="60">
        <f t="shared" si="8"/>
        <v>0.21062414731437451</v>
      </c>
      <c r="AJ24" s="60">
        <f t="shared" si="9"/>
        <v>42124.829462874906</v>
      </c>
      <c r="AK24" s="60">
        <f t="shared" si="10"/>
        <v>526560.3682859363</v>
      </c>
      <c r="AL24" s="11">
        <f t="shared" si="14"/>
        <v>2938.2223193635209</v>
      </c>
      <c r="AM24" s="9"/>
      <c r="AO24" s="22">
        <f>[1]საპენსიო!D30</f>
        <v>59.736842105263158</v>
      </c>
      <c r="AP24" s="22"/>
      <c r="AQ24" s="23">
        <f t="shared" si="11"/>
        <v>59.736842105263158</v>
      </c>
      <c r="AR24" s="23">
        <f t="shared" si="12"/>
        <v>14.934210526315789</v>
      </c>
      <c r="AS24" s="23">
        <f t="shared" si="13"/>
        <v>179.21052631578948</v>
      </c>
      <c r="AT24" s="9"/>
      <c r="AU24" s="21">
        <v>4642341</v>
      </c>
    </row>
    <row r="25" spans="1:48" ht="33.75" customHeight="1">
      <c r="A25" s="25">
        <v>24</v>
      </c>
      <c r="B25" s="25" t="s">
        <v>90</v>
      </c>
      <c r="C25" s="25" t="s">
        <v>91</v>
      </c>
      <c r="D25" s="31" t="s">
        <v>92</v>
      </c>
      <c r="E25" s="16">
        <f t="shared" ref="E25:E32" si="15">AVERAGE(J25:N25)</f>
        <v>111386.8</v>
      </c>
      <c r="F25" s="16">
        <f t="shared" ref="F25:F32" si="16">AVERAGE(O25:V25)</f>
        <v>170083.625</v>
      </c>
      <c r="G25" s="16">
        <f t="shared" si="5"/>
        <v>340627</v>
      </c>
      <c r="H25" s="16">
        <f t="shared" si="6"/>
        <v>413211</v>
      </c>
      <c r="I25" s="17">
        <v>255662</v>
      </c>
      <c r="J25" s="17">
        <v>103969</v>
      </c>
      <c r="K25" s="17">
        <f>14393+31795+12615+6244+1102</f>
        <v>66149</v>
      </c>
      <c r="L25" s="17">
        <f>31487+100998+25728+1020</f>
        <v>159233</v>
      </c>
      <c r="M25" s="17">
        <v>129089</v>
      </c>
      <c r="N25" s="37">
        <f>6352+51394+39920+828</f>
        <v>98494</v>
      </c>
      <c r="O25" s="37">
        <v>168080</v>
      </c>
      <c r="P25" s="37">
        <v>168944</v>
      </c>
      <c r="Q25" s="37">
        <v>137425</v>
      </c>
      <c r="R25" s="37">
        <v>172936</v>
      </c>
      <c r="S25" s="37">
        <v>195246</v>
      </c>
      <c r="T25" s="37">
        <v>141714</v>
      </c>
      <c r="U25" s="37">
        <v>185410</v>
      </c>
      <c r="V25" s="37">
        <v>190914</v>
      </c>
      <c r="W25" s="37">
        <v>277656</v>
      </c>
      <c r="X25" s="37">
        <v>352098</v>
      </c>
      <c r="Y25" s="37">
        <v>363351</v>
      </c>
      <c r="Z25" s="37">
        <v>369403</v>
      </c>
      <c r="AA25" s="37">
        <v>398024</v>
      </c>
      <c r="AB25" s="38">
        <v>426880</v>
      </c>
      <c r="AC25" s="38">
        <v>422016</v>
      </c>
      <c r="AD25" s="38">
        <v>405924</v>
      </c>
      <c r="AE25" s="38">
        <v>485444</v>
      </c>
      <c r="AF25" s="44">
        <f t="shared" si="7"/>
        <v>5674061</v>
      </c>
      <c r="AG25" s="35">
        <v>8.4500000000000006E-2</v>
      </c>
      <c r="AH25" s="44">
        <f t="shared" si="2"/>
        <v>479458.1545</v>
      </c>
      <c r="AI25" s="60">
        <f t="shared" si="8"/>
        <v>10.32934538983918</v>
      </c>
      <c r="AJ25" s="60">
        <f t="shared" si="9"/>
        <v>2065869.0779678361</v>
      </c>
      <c r="AK25" s="60">
        <f t="shared" si="10"/>
        <v>24448154.768850129</v>
      </c>
      <c r="AL25" s="11">
        <f t="shared" si="14"/>
        <v>56325.168570407077</v>
      </c>
      <c r="AM25" s="9"/>
      <c r="AO25" s="22">
        <f>[1]საპენსიო!D18</f>
        <v>143.02982162764772</v>
      </c>
      <c r="AP25" s="22">
        <f>[1]შშმპ!D19</f>
        <v>146.33939393939394</v>
      </c>
      <c r="AQ25" s="23">
        <f t="shared" si="11"/>
        <v>144.68460778352085</v>
      </c>
      <c r="AR25" s="23">
        <f t="shared" si="12"/>
        <v>36.171151945880212</v>
      </c>
      <c r="AS25" s="23">
        <f t="shared" si="13"/>
        <v>434.05382335056254</v>
      </c>
      <c r="AT25" s="9"/>
      <c r="AU25" s="21">
        <v>823420</v>
      </c>
    </row>
    <row r="26" spans="1:48" ht="51.75" customHeight="1">
      <c r="A26" s="25">
        <v>25</v>
      </c>
      <c r="B26" s="25" t="s">
        <v>93</v>
      </c>
      <c r="C26" s="25" t="s">
        <v>94</v>
      </c>
      <c r="D26" s="33" t="s">
        <v>95</v>
      </c>
      <c r="E26" s="16">
        <f t="shared" si="15"/>
        <v>29537.8</v>
      </c>
      <c r="F26" s="16">
        <f t="shared" si="16"/>
        <v>59391.375</v>
      </c>
      <c r="G26" s="16">
        <f t="shared" si="5"/>
        <v>107459.75</v>
      </c>
      <c r="H26" s="16">
        <f t="shared" si="6"/>
        <v>148344.75</v>
      </c>
      <c r="I26" s="17">
        <v>22614</v>
      </c>
      <c r="J26" s="17">
        <f>3092+8803</f>
        <v>11895</v>
      </c>
      <c r="K26" s="17">
        <v>700</v>
      </c>
      <c r="L26" s="17">
        <f>562+329+28856</f>
        <v>29747</v>
      </c>
      <c r="M26" s="17">
        <v>79226</v>
      </c>
      <c r="N26" s="17">
        <f>26120+1</f>
        <v>26121</v>
      </c>
      <c r="O26" s="17">
        <v>51767</v>
      </c>
      <c r="P26" s="17">
        <v>64413</v>
      </c>
      <c r="Q26" s="17">
        <v>45245</v>
      </c>
      <c r="R26" s="17">
        <v>53493</v>
      </c>
      <c r="S26" s="17">
        <v>75130</v>
      </c>
      <c r="T26" s="17">
        <v>47604</v>
      </c>
      <c r="U26" s="17">
        <v>60976</v>
      </c>
      <c r="V26" s="17">
        <v>76503</v>
      </c>
      <c r="W26" s="17">
        <v>99668</v>
      </c>
      <c r="X26" s="17">
        <v>130154</v>
      </c>
      <c r="Y26" s="17">
        <v>97303</v>
      </c>
      <c r="Z26" s="17">
        <v>102714</v>
      </c>
      <c r="AA26" s="17">
        <v>167394</v>
      </c>
      <c r="AB26" s="18">
        <v>142531</v>
      </c>
      <c r="AC26" s="18">
        <v>138106</v>
      </c>
      <c r="AD26" s="18">
        <v>145348</v>
      </c>
      <c r="AE26" s="18">
        <v>171541</v>
      </c>
      <c r="AF26" s="44">
        <f t="shared" si="7"/>
        <v>1840193</v>
      </c>
      <c r="AG26" s="39">
        <v>0.1119</v>
      </c>
      <c r="AH26" s="44">
        <f t="shared" si="2"/>
        <v>205917.59669999999</v>
      </c>
      <c r="AI26" s="60">
        <f t="shared" si="8"/>
        <v>4.436245286886467</v>
      </c>
      <c r="AJ26" s="60">
        <f t="shared" si="9"/>
        <v>887249.05737729336</v>
      </c>
      <c r="AK26" s="60">
        <f t="shared" si="10"/>
        <v>7928945.9997970806</v>
      </c>
      <c r="AL26" s="11">
        <f t="shared" si="14"/>
        <v>31330.565496038715</v>
      </c>
      <c r="AM26" s="9"/>
      <c r="AO26" s="22">
        <f>[1]საპენსიო!D20</f>
        <v>83.653382275825905</v>
      </c>
      <c r="AP26" s="22">
        <f>[1]შშმპ!D20</f>
        <v>85.0625</v>
      </c>
      <c r="AQ26" s="23">
        <f t="shared" si="11"/>
        <v>84.357941137912945</v>
      </c>
      <c r="AR26" s="23">
        <f t="shared" si="12"/>
        <v>21.089485284478236</v>
      </c>
      <c r="AS26" s="23">
        <f t="shared" si="13"/>
        <v>253.07382341373884</v>
      </c>
      <c r="AT26" s="9"/>
      <c r="AU26" s="21">
        <v>610238</v>
      </c>
    </row>
    <row r="27" spans="1:48">
      <c r="A27" s="25">
        <v>26</v>
      </c>
      <c r="B27" s="25" t="s">
        <v>96</v>
      </c>
      <c r="C27" s="25" t="s">
        <v>97</v>
      </c>
      <c r="D27" s="40" t="s">
        <v>98</v>
      </c>
      <c r="E27" s="16">
        <f t="shared" si="15"/>
        <v>32737.8</v>
      </c>
      <c r="F27" s="16">
        <f t="shared" si="16"/>
        <v>54173.125</v>
      </c>
      <c r="G27" s="16">
        <f t="shared" si="5"/>
        <v>105344.25</v>
      </c>
      <c r="H27" s="16">
        <f t="shared" si="6"/>
        <v>131738.25</v>
      </c>
      <c r="I27" s="17">
        <v>35404</v>
      </c>
      <c r="J27" s="17">
        <f>630+300</f>
        <v>930</v>
      </c>
      <c r="K27" s="17">
        <v>24</v>
      </c>
      <c r="L27" s="17">
        <f>2+18170+30+84119</f>
        <v>102321</v>
      </c>
      <c r="M27" s="17">
        <v>38566</v>
      </c>
      <c r="N27" s="17">
        <f>3538+30+18280</f>
        <v>21848</v>
      </c>
      <c r="O27" s="17">
        <v>72462</v>
      </c>
      <c r="P27" s="17">
        <v>48945</v>
      </c>
      <c r="Q27" s="17">
        <v>33097</v>
      </c>
      <c r="R27" s="17">
        <v>65867</v>
      </c>
      <c r="S27" s="17">
        <v>59457</v>
      </c>
      <c r="T27" s="17">
        <v>34447</v>
      </c>
      <c r="U27" s="17">
        <v>64628</v>
      </c>
      <c r="V27" s="17">
        <v>54482</v>
      </c>
      <c r="W27" s="17">
        <v>84344</v>
      </c>
      <c r="X27" s="17">
        <v>130224</v>
      </c>
      <c r="Y27" s="17">
        <v>103094</v>
      </c>
      <c r="Z27" s="17">
        <v>103715</v>
      </c>
      <c r="AA27" s="17">
        <v>136114</v>
      </c>
      <c r="AB27" s="18">
        <v>128423</v>
      </c>
      <c r="AC27" s="18">
        <v>130971</v>
      </c>
      <c r="AD27" s="18">
        <v>131445</v>
      </c>
      <c r="AE27" s="18">
        <v>154667</v>
      </c>
      <c r="AF27" s="44">
        <f t="shared" si="7"/>
        <v>1735475</v>
      </c>
      <c r="AG27" s="41">
        <v>0.109</v>
      </c>
      <c r="AH27" s="44">
        <f t="shared" si="2"/>
        <v>189166.77499999999</v>
      </c>
      <c r="AI27" s="60">
        <f t="shared" si="8"/>
        <v>4.0753691159861072</v>
      </c>
      <c r="AJ27" s="60">
        <f t="shared" si="9"/>
        <v>815073.8231972215</v>
      </c>
      <c r="AK27" s="60">
        <f t="shared" si="10"/>
        <v>7477741.4972222159</v>
      </c>
      <c r="AL27" s="11">
        <f t="shared" si="14"/>
        <v>21211.336615212731</v>
      </c>
      <c r="AM27" s="9"/>
      <c r="AO27" s="22">
        <f>[1]საპენსიო!D19</f>
        <v>119.85441176470589</v>
      </c>
      <c r="AP27" s="22">
        <f>[1]შშმპ!D18</f>
        <v>115.16901408450704</v>
      </c>
      <c r="AQ27" s="23">
        <f t="shared" si="11"/>
        <v>117.51171292460646</v>
      </c>
      <c r="AR27" s="23">
        <f t="shared" si="12"/>
        <v>29.377928231151614</v>
      </c>
      <c r="AS27" s="23">
        <f t="shared" si="13"/>
        <v>352.53513877381937</v>
      </c>
      <c r="AT27" s="9"/>
      <c r="AU27" s="21">
        <v>304248</v>
      </c>
    </row>
    <row r="28" spans="1:48">
      <c r="A28" s="25">
        <v>27</v>
      </c>
      <c r="B28" s="25" t="s">
        <v>99</v>
      </c>
      <c r="C28" s="25" t="s">
        <v>100</v>
      </c>
      <c r="D28" s="33" t="s">
        <v>101</v>
      </c>
      <c r="E28" s="16">
        <f t="shared" si="15"/>
        <v>3042.2</v>
      </c>
      <c r="F28" s="16">
        <f t="shared" si="16"/>
        <v>3862.625</v>
      </c>
      <c r="G28" s="16">
        <f t="shared" si="5"/>
        <v>8559.25</v>
      </c>
      <c r="H28" s="16">
        <f t="shared" si="6"/>
        <v>7996.333333333333</v>
      </c>
      <c r="I28" s="17">
        <v>2774</v>
      </c>
      <c r="J28" s="17">
        <v>3424</v>
      </c>
      <c r="K28" s="17">
        <v>2384</v>
      </c>
      <c r="L28" s="17">
        <f>2117</f>
        <v>2117</v>
      </c>
      <c r="M28" s="17">
        <v>4162</v>
      </c>
      <c r="N28" s="17">
        <f>2480+644</f>
        <v>3124</v>
      </c>
      <c r="O28" s="17">
        <v>2678</v>
      </c>
      <c r="P28" s="17">
        <v>2208</v>
      </c>
      <c r="Q28" s="17">
        <v>5712</v>
      </c>
      <c r="R28" s="17">
        <v>2577</v>
      </c>
      <c r="S28" s="17">
        <v>4044</v>
      </c>
      <c r="T28" s="17">
        <v>5261</v>
      </c>
      <c r="U28" s="17">
        <v>4810</v>
      </c>
      <c r="V28" s="17">
        <v>3611</v>
      </c>
      <c r="W28" s="17">
        <v>6970</v>
      </c>
      <c r="X28" s="17">
        <v>10729</v>
      </c>
      <c r="Y28" s="17">
        <v>7133</v>
      </c>
      <c r="Z28" s="17">
        <v>9405</v>
      </c>
      <c r="AA28" s="17">
        <v>6884</v>
      </c>
      <c r="AB28" s="18">
        <v>10015</v>
      </c>
      <c r="AC28" s="18">
        <v>7090</v>
      </c>
      <c r="AD28" s="18"/>
      <c r="AE28" s="18">
        <v>7618</v>
      </c>
      <c r="AF28" s="44">
        <f t="shared" si="7"/>
        <v>114730</v>
      </c>
      <c r="AG28" s="26">
        <v>0.16520000000000001</v>
      </c>
      <c r="AH28" s="44">
        <f t="shared" si="2"/>
        <v>18953.396000000001</v>
      </c>
      <c r="AI28" s="60">
        <f t="shared" si="8"/>
        <v>0.40832796722074804</v>
      </c>
      <c r="AJ28" s="60">
        <f t="shared" si="9"/>
        <v>81665.593444149607</v>
      </c>
      <c r="AK28" s="60">
        <f t="shared" si="10"/>
        <v>494343.7859815351</v>
      </c>
      <c r="AL28" s="11">
        <f t="shared" si="14"/>
        <v>1265.3768125228812</v>
      </c>
      <c r="AM28" s="9"/>
      <c r="AO28" s="22">
        <f>[1]საპენსიო!D27</f>
        <v>189.44615384615383</v>
      </c>
      <c r="AP28" s="22">
        <f>[1]შშმპ!D26</f>
        <v>71</v>
      </c>
      <c r="AQ28" s="23">
        <f t="shared" si="11"/>
        <v>130.22307692307692</v>
      </c>
      <c r="AR28" s="23">
        <f t="shared" si="12"/>
        <v>32.555769230769229</v>
      </c>
      <c r="AS28" s="23">
        <f t="shared" si="13"/>
        <v>390.66923076923075</v>
      </c>
      <c r="AT28" s="9"/>
      <c r="AU28" s="21">
        <v>21710</v>
      </c>
    </row>
    <row r="29" spans="1:48" ht="27.75" customHeight="1">
      <c r="A29" s="25">
        <v>28</v>
      </c>
      <c r="B29" s="25" t="s">
        <v>102</v>
      </c>
      <c r="C29" s="25" t="s">
        <v>103</v>
      </c>
      <c r="D29" s="33" t="s">
        <v>104</v>
      </c>
      <c r="E29" s="16">
        <f t="shared" si="15"/>
        <v>28454.799999999999</v>
      </c>
      <c r="F29" s="16">
        <f t="shared" si="16"/>
        <v>36332.375</v>
      </c>
      <c r="G29" s="16">
        <f t="shared" si="5"/>
        <v>89779</v>
      </c>
      <c r="H29" s="16">
        <f t="shared" si="6"/>
        <v>101791.75</v>
      </c>
      <c r="I29" s="17">
        <v>0</v>
      </c>
      <c r="J29" s="17">
        <v>21555</v>
      </c>
      <c r="K29" s="17">
        <v>35764</v>
      </c>
      <c r="L29" s="17">
        <f>21573</f>
        <v>21573</v>
      </c>
      <c r="M29" s="17">
        <v>28139</v>
      </c>
      <c r="N29" s="17">
        <f>35243</f>
        <v>35243</v>
      </c>
      <c r="O29" s="17">
        <v>25652</v>
      </c>
      <c r="P29" s="17">
        <v>31840</v>
      </c>
      <c r="Q29" s="17">
        <v>43499</v>
      </c>
      <c r="R29" s="17">
        <v>34555</v>
      </c>
      <c r="S29" s="17">
        <v>39389</v>
      </c>
      <c r="T29" s="17">
        <v>38730</v>
      </c>
      <c r="U29" s="17">
        <v>38749</v>
      </c>
      <c r="V29" s="17">
        <v>38245</v>
      </c>
      <c r="W29" s="17">
        <v>74463</v>
      </c>
      <c r="X29" s="17">
        <v>85375</v>
      </c>
      <c r="Y29" s="17">
        <v>97444</v>
      </c>
      <c r="Z29" s="17">
        <v>101834</v>
      </c>
      <c r="AA29" s="17">
        <v>85627</v>
      </c>
      <c r="AB29" s="18">
        <v>103526</v>
      </c>
      <c r="AC29" s="18">
        <v>127741</v>
      </c>
      <c r="AD29" s="18">
        <v>90273</v>
      </c>
      <c r="AE29" s="18">
        <v>62192</v>
      </c>
      <c r="AF29" s="44">
        <f t="shared" si="7"/>
        <v>1261408</v>
      </c>
      <c r="AG29" s="35">
        <v>4.4999999999999998E-2</v>
      </c>
      <c r="AH29" s="44">
        <f t="shared" si="2"/>
        <v>56763.360000000001</v>
      </c>
      <c r="AI29" s="60">
        <f t="shared" si="8"/>
        <v>1.2228978596458133</v>
      </c>
      <c r="AJ29" s="60">
        <f t="shared" si="9"/>
        <v>244579.57192916266</v>
      </c>
      <c r="AK29" s="60">
        <f t="shared" si="10"/>
        <v>5435101.5984258372</v>
      </c>
      <c r="AL29" s="11">
        <f t="shared" si="14"/>
        <v>14384.494914611934</v>
      </c>
      <c r="AM29" s="9"/>
      <c r="AO29" s="22">
        <f>[1]საპენსიო!D28</f>
        <v>118.71681415929204</v>
      </c>
      <c r="AP29" s="22">
        <f>[1]შშმპ!D27</f>
        <v>133.17948717948718</v>
      </c>
      <c r="AQ29" s="23">
        <f t="shared" si="11"/>
        <v>125.94815066938961</v>
      </c>
      <c r="AR29" s="23">
        <f t="shared" si="12"/>
        <v>31.487037667347401</v>
      </c>
      <c r="AS29" s="23">
        <f t="shared" si="13"/>
        <v>377.84445200816879</v>
      </c>
      <c r="AT29" s="9"/>
      <c r="AU29" s="21">
        <v>46718</v>
      </c>
    </row>
    <row r="30" spans="1:48" ht="26.25" customHeight="1">
      <c r="A30" s="25">
        <v>29</v>
      </c>
      <c r="B30" s="25" t="s">
        <v>105</v>
      </c>
      <c r="C30" s="25" t="s">
        <v>106</v>
      </c>
      <c r="D30" s="33" t="s">
        <v>71</v>
      </c>
      <c r="E30" s="16">
        <f t="shared" si="15"/>
        <v>754.2</v>
      </c>
      <c r="F30" s="16">
        <f t="shared" si="16"/>
        <v>1018.25</v>
      </c>
      <c r="G30" s="16">
        <f t="shared" si="5"/>
        <v>1003.75</v>
      </c>
      <c r="H30" s="16">
        <f t="shared" si="6"/>
        <v>1529</v>
      </c>
      <c r="I30" s="17">
        <v>547</v>
      </c>
      <c r="J30" s="17">
        <v>464</v>
      </c>
      <c r="K30" s="17">
        <v>356</v>
      </c>
      <c r="L30" s="17">
        <v>1050</v>
      </c>
      <c r="M30" s="17">
        <v>1342</v>
      </c>
      <c r="N30" s="17">
        <f>559</f>
        <v>559</v>
      </c>
      <c r="O30" s="17">
        <v>776</v>
      </c>
      <c r="P30" s="17">
        <v>1012</v>
      </c>
      <c r="Q30" s="17">
        <v>664</v>
      </c>
      <c r="R30" s="17">
        <v>926</v>
      </c>
      <c r="S30" s="17">
        <v>1161</v>
      </c>
      <c r="T30" s="17">
        <v>918</v>
      </c>
      <c r="U30" s="17">
        <v>1668</v>
      </c>
      <c r="V30" s="17">
        <v>1021</v>
      </c>
      <c r="W30" s="17">
        <v>513</v>
      </c>
      <c r="X30" s="17">
        <v>1320</v>
      </c>
      <c r="Y30" s="17">
        <v>1348</v>
      </c>
      <c r="Z30" s="17">
        <v>834</v>
      </c>
      <c r="AA30" s="17">
        <f>1971+1640</f>
        <v>3611</v>
      </c>
      <c r="AB30" s="18">
        <v>1204</v>
      </c>
      <c r="AC30" s="18">
        <v>898</v>
      </c>
      <c r="AD30" s="18">
        <v>403</v>
      </c>
      <c r="AE30" s="18">
        <v>346</v>
      </c>
      <c r="AF30" s="44">
        <f t="shared" si="7"/>
        <v>22941</v>
      </c>
      <c r="AG30" s="26">
        <v>3.2294999999999998</v>
      </c>
      <c r="AH30" s="44">
        <f t="shared" si="2"/>
        <v>74087.959499999997</v>
      </c>
      <c r="AI30" s="60">
        <f t="shared" si="8"/>
        <v>1.5961353784919654</v>
      </c>
      <c r="AJ30" s="60">
        <f t="shared" si="9"/>
        <v>319227.07569839311</v>
      </c>
      <c r="AK30" s="60">
        <f t="shared" si="10"/>
        <v>98847.213407150688</v>
      </c>
      <c r="AL30" s="11">
        <f t="shared" si="14"/>
        <v>2768.8295072031001</v>
      </c>
      <c r="AM30" s="9"/>
      <c r="AO30" s="22">
        <f>[1]საპენსიო!D25</f>
        <v>14.3</v>
      </c>
      <c r="AP30" s="22">
        <f>[1]შშმპ!D25</f>
        <v>9.5</v>
      </c>
      <c r="AQ30" s="23">
        <f t="shared" si="11"/>
        <v>11.9</v>
      </c>
      <c r="AR30" s="23">
        <f t="shared" si="12"/>
        <v>2.9750000000000001</v>
      </c>
      <c r="AS30" s="23">
        <f t="shared" si="13"/>
        <v>35.700000000000003</v>
      </c>
      <c r="AT30" s="9"/>
      <c r="AU30" s="42">
        <v>2687</v>
      </c>
    </row>
    <row r="31" spans="1:48" ht="39.75" customHeight="1">
      <c r="A31" s="25">
        <v>30</v>
      </c>
      <c r="B31" s="25" t="s">
        <v>107</v>
      </c>
      <c r="C31" s="25" t="s">
        <v>108</v>
      </c>
      <c r="D31" s="33" t="s">
        <v>109</v>
      </c>
      <c r="E31" s="16">
        <f t="shared" si="15"/>
        <v>105.2</v>
      </c>
      <c r="F31" s="16">
        <f t="shared" si="16"/>
        <v>119.375</v>
      </c>
      <c r="G31" s="16">
        <f t="shared" si="5"/>
        <v>107.5</v>
      </c>
      <c r="H31" s="16">
        <f t="shared" si="6"/>
        <v>1125</v>
      </c>
      <c r="I31" s="17">
        <v>290</v>
      </c>
      <c r="J31" s="17">
        <v>46</v>
      </c>
      <c r="K31" s="17">
        <v>110</v>
      </c>
      <c r="L31" s="17">
        <v>131</v>
      </c>
      <c r="M31" s="17">
        <v>165</v>
      </c>
      <c r="N31" s="17">
        <f>74</f>
        <v>74</v>
      </c>
      <c r="O31" s="17">
        <v>0</v>
      </c>
      <c r="P31" s="17">
        <v>55</v>
      </c>
      <c r="Q31" s="17">
        <v>100</v>
      </c>
      <c r="R31" s="17">
        <v>400</v>
      </c>
      <c r="S31" s="17">
        <v>80</v>
      </c>
      <c r="T31" s="17">
        <v>90</v>
      </c>
      <c r="U31" s="17">
        <v>184</v>
      </c>
      <c r="V31" s="17">
        <v>46</v>
      </c>
      <c r="W31" s="17">
        <v>40</v>
      </c>
      <c r="X31" s="17">
        <v>120</v>
      </c>
      <c r="Y31" s="17">
        <v>203</v>
      </c>
      <c r="Z31" s="17">
        <v>67</v>
      </c>
      <c r="AA31" s="17">
        <v>1125</v>
      </c>
      <c r="AB31" s="43"/>
      <c r="AC31" s="43"/>
      <c r="AD31" s="43"/>
      <c r="AE31" s="9"/>
      <c r="AF31" s="44">
        <f t="shared" si="7"/>
        <v>3326</v>
      </c>
      <c r="AG31" s="43"/>
      <c r="AH31" s="44">
        <f t="shared" si="2"/>
        <v>0</v>
      </c>
      <c r="AI31" s="60">
        <f t="shared" si="8"/>
        <v>0</v>
      </c>
      <c r="AJ31" s="60">
        <f t="shared" si="9"/>
        <v>0</v>
      </c>
      <c r="AK31" s="60"/>
      <c r="AL31" s="11">
        <f t="shared" si="14"/>
        <v>0</v>
      </c>
      <c r="AM31" s="9"/>
      <c r="AO31" s="22">
        <f>[1]საპენსიო!D21</f>
        <v>30</v>
      </c>
      <c r="AP31" s="22"/>
      <c r="AQ31" s="23">
        <f t="shared" si="11"/>
        <v>30</v>
      </c>
      <c r="AR31" s="23">
        <f t="shared" si="12"/>
        <v>7.5</v>
      </c>
      <c r="AS31" s="23">
        <f t="shared" si="13"/>
        <v>90</v>
      </c>
      <c r="AT31" s="9"/>
      <c r="AU31" s="43"/>
    </row>
    <row r="32" spans="1:48" ht="60.75" customHeight="1">
      <c r="A32" s="25">
        <v>31</v>
      </c>
      <c r="B32" s="25" t="s">
        <v>110</v>
      </c>
      <c r="C32" s="25" t="s">
        <v>111</v>
      </c>
      <c r="D32" s="33" t="s">
        <v>112</v>
      </c>
      <c r="E32" s="16">
        <f t="shared" si="15"/>
        <v>952.6</v>
      </c>
      <c r="F32" s="16">
        <f t="shared" si="16"/>
        <v>1313.125</v>
      </c>
      <c r="G32" s="16">
        <f t="shared" si="5"/>
        <v>1168.5</v>
      </c>
      <c r="H32" s="16">
        <f t="shared" si="6"/>
        <v>1485.5</v>
      </c>
      <c r="I32" s="17">
        <v>2050</v>
      </c>
      <c r="J32" s="17">
        <f>40+3+752</f>
        <v>795</v>
      </c>
      <c r="K32" s="17">
        <v>579</v>
      </c>
      <c r="L32" s="17">
        <f>52+45+1091+191</f>
        <v>1379</v>
      </c>
      <c r="M32" s="17">
        <v>1075</v>
      </c>
      <c r="N32" s="17">
        <f>12+393+530</f>
        <v>935</v>
      </c>
      <c r="O32" s="17">
        <v>1306</v>
      </c>
      <c r="P32" s="17">
        <v>1200</v>
      </c>
      <c r="Q32" s="17">
        <v>1273</v>
      </c>
      <c r="R32" s="17">
        <v>684</v>
      </c>
      <c r="S32" s="17">
        <v>1911</v>
      </c>
      <c r="T32" s="17">
        <v>1457</v>
      </c>
      <c r="U32" s="17">
        <v>1090</v>
      </c>
      <c r="V32" s="17">
        <v>1584</v>
      </c>
      <c r="W32" s="17">
        <v>2118</v>
      </c>
      <c r="X32" s="17">
        <v>1484</v>
      </c>
      <c r="Y32" s="17">
        <v>916</v>
      </c>
      <c r="Z32" s="17">
        <v>156</v>
      </c>
      <c r="AA32" s="17">
        <v>2685</v>
      </c>
      <c r="AB32" s="18">
        <v>854</v>
      </c>
      <c r="AC32" s="18">
        <v>1062</v>
      </c>
      <c r="AD32" s="18">
        <v>1341</v>
      </c>
      <c r="AE32" s="91">
        <v>1226</v>
      </c>
      <c r="AF32" s="44">
        <f t="shared" si="7"/>
        <v>29160</v>
      </c>
      <c r="AG32" s="35">
        <v>30.998999999999999</v>
      </c>
      <c r="AH32" s="44">
        <f t="shared" si="2"/>
        <v>903930.84</v>
      </c>
      <c r="AI32" s="60">
        <f t="shared" si="8"/>
        <v>19.474095428879512</v>
      </c>
      <c r="AJ32" s="60">
        <f t="shared" si="9"/>
        <v>3894819.0857759025</v>
      </c>
      <c r="AK32" s="60">
        <f t="shared" si="10"/>
        <v>125643.37835981492</v>
      </c>
      <c r="AL32" s="11">
        <f t="shared" si="14"/>
        <v>22669.810742618101</v>
      </c>
      <c r="AM32" s="9"/>
      <c r="AO32" s="22">
        <f>[1]საპენსიო!D22</f>
        <v>1.9014925373134328</v>
      </c>
      <c r="AP32" s="22">
        <f>[1]შშმპ!D22</f>
        <v>1.7933884297520661</v>
      </c>
      <c r="AQ32" s="23">
        <f t="shared" si="11"/>
        <v>1.8474404835327496</v>
      </c>
      <c r="AR32" s="23">
        <f t="shared" si="12"/>
        <v>0.4618601208831874</v>
      </c>
      <c r="AS32" s="23">
        <f t="shared" si="13"/>
        <v>5.5423214505982488</v>
      </c>
      <c r="AT32" s="9"/>
      <c r="AU32" s="21">
        <v>5045</v>
      </c>
    </row>
    <row r="33" spans="1:47" ht="60.75" customHeight="1">
      <c r="A33" s="25">
        <v>32</v>
      </c>
      <c r="B33" s="25" t="s">
        <v>113</v>
      </c>
      <c r="C33" s="25" t="s">
        <v>114</v>
      </c>
      <c r="D33" s="33" t="s">
        <v>60</v>
      </c>
      <c r="E33" s="16"/>
      <c r="F33" s="16"/>
      <c r="G33" s="16" t="e">
        <f t="shared" si="5"/>
        <v>#DIV/0!</v>
      </c>
      <c r="H33" s="16">
        <f t="shared" si="6"/>
        <v>642.5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>
        <v>168</v>
      </c>
      <c r="AB33" s="18">
        <v>1752</v>
      </c>
      <c r="AC33" s="18">
        <v>472</v>
      </c>
      <c r="AD33" s="18">
        <v>178</v>
      </c>
      <c r="AE33" s="18">
        <v>1990</v>
      </c>
      <c r="AF33" s="44">
        <f t="shared" si="7"/>
        <v>4560</v>
      </c>
      <c r="AG33" s="35">
        <v>25.76</v>
      </c>
      <c r="AH33" s="44">
        <f t="shared" si="2"/>
        <v>117465.60000000001</v>
      </c>
      <c r="AI33" s="60">
        <f t="shared" si="8"/>
        <v>2.5306541195237782</v>
      </c>
      <c r="AJ33" s="60">
        <f t="shared" si="9"/>
        <v>506130.82390475564</v>
      </c>
      <c r="AK33" s="60">
        <f t="shared" si="10"/>
        <v>19647.935710588339</v>
      </c>
      <c r="AM33" s="9"/>
      <c r="AO33" s="22"/>
      <c r="AP33" s="22"/>
      <c r="AQ33" s="23"/>
      <c r="AR33" s="23">
        <f t="shared" si="12"/>
        <v>0</v>
      </c>
      <c r="AS33" s="23">
        <f t="shared" si="13"/>
        <v>0</v>
      </c>
      <c r="AT33" s="9"/>
      <c r="AU33" s="45">
        <v>4750</v>
      </c>
    </row>
    <row r="34" spans="1:47" ht="48.75" customHeight="1">
      <c r="A34" s="25">
        <v>33</v>
      </c>
      <c r="B34" s="14" t="s">
        <v>115</v>
      </c>
      <c r="C34" s="14" t="s">
        <v>116</v>
      </c>
      <c r="D34" s="33" t="s">
        <v>39</v>
      </c>
      <c r="E34" s="16">
        <f>AVERAGE(J34:N34)</f>
        <v>401.4</v>
      </c>
      <c r="F34" s="16">
        <f>AVERAGE(O34:V34)</f>
        <v>514.5</v>
      </c>
      <c r="G34" s="16">
        <f t="shared" si="5"/>
        <v>882.75</v>
      </c>
      <c r="H34" s="16">
        <f t="shared" si="6"/>
        <v>838.25</v>
      </c>
      <c r="I34" s="17">
        <v>647</v>
      </c>
      <c r="J34" s="17">
        <f>118+269</f>
        <v>387</v>
      </c>
      <c r="K34" s="17">
        <f>20+54+196</f>
        <v>270</v>
      </c>
      <c r="L34" s="17">
        <f>254+23+229</f>
        <v>506</v>
      </c>
      <c r="M34" s="17">
        <f>90+362</f>
        <v>452</v>
      </c>
      <c r="N34" s="17">
        <f>215+143+8+26</f>
        <v>392</v>
      </c>
      <c r="O34" s="17">
        <v>422</v>
      </c>
      <c r="P34" s="17">
        <v>557</v>
      </c>
      <c r="Q34" s="17">
        <v>504</v>
      </c>
      <c r="R34" s="17">
        <v>431</v>
      </c>
      <c r="S34" s="17">
        <v>653</v>
      </c>
      <c r="T34" s="17">
        <v>459</v>
      </c>
      <c r="U34" s="17">
        <v>534</v>
      </c>
      <c r="V34" s="17">
        <v>556</v>
      </c>
      <c r="W34" s="17">
        <v>849</v>
      </c>
      <c r="X34" s="17">
        <v>896</v>
      </c>
      <c r="Y34" s="17">
        <v>844</v>
      </c>
      <c r="Z34" s="17">
        <v>942</v>
      </c>
      <c r="AA34" s="17">
        <v>956</v>
      </c>
      <c r="AB34" s="18">
        <v>888</v>
      </c>
      <c r="AC34" s="18">
        <v>844</v>
      </c>
      <c r="AD34" s="18">
        <v>665</v>
      </c>
      <c r="AE34" s="18">
        <v>651</v>
      </c>
      <c r="AF34" s="44">
        <f t="shared" si="7"/>
        <v>14305</v>
      </c>
      <c r="AG34" s="46">
        <v>4.8</v>
      </c>
      <c r="AH34" s="44">
        <f t="shared" si="2"/>
        <v>68664</v>
      </c>
      <c r="AI34" s="60">
        <f t="shared" si="8"/>
        <v>1.4792827386314011</v>
      </c>
      <c r="AJ34" s="60">
        <f t="shared" si="9"/>
        <v>295856.54772628023</v>
      </c>
      <c r="AK34" s="60">
        <f>AJ34/AG34</f>
        <v>61636.780776308384</v>
      </c>
      <c r="AL34" s="11">
        <f t="shared" ref="AL34:AL42" si="17">AK34/AS34</f>
        <v>10272.729001788939</v>
      </c>
      <c r="AM34" s="9"/>
      <c r="AO34" s="22">
        <f>[1]საპენსიო!D23</f>
        <v>1.9255583126550868</v>
      </c>
      <c r="AP34" s="22">
        <f>[1]შშმპ!D23</f>
        <v>2.0744680851063828</v>
      </c>
      <c r="AQ34" s="23">
        <f t="shared" si="11"/>
        <v>2.000013198880735</v>
      </c>
      <c r="AR34" s="23">
        <f t="shared" si="12"/>
        <v>0.50000329972018376</v>
      </c>
      <c r="AS34" s="23">
        <f t="shared" si="13"/>
        <v>6.0000395966422051</v>
      </c>
      <c r="AT34" s="9"/>
      <c r="AU34" s="21">
        <v>2015</v>
      </c>
    </row>
    <row r="35" spans="1:47" ht="85.5" customHeight="1">
      <c r="A35" s="25">
        <v>34</v>
      </c>
      <c r="B35" s="25" t="s">
        <v>117</v>
      </c>
      <c r="C35" s="25" t="s">
        <v>118</v>
      </c>
      <c r="D35" s="33" t="s">
        <v>98</v>
      </c>
      <c r="E35" s="16">
        <f>AVERAGE(J35:N35)</f>
        <v>53.2</v>
      </c>
      <c r="F35" s="16">
        <f>AVERAGE(O35:V35)</f>
        <v>113.75</v>
      </c>
      <c r="G35" s="16">
        <f t="shared" si="5"/>
        <v>252.5</v>
      </c>
      <c r="H35" s="16">
        <f t="shared" si="6"/>
        <v>310.5</v>
      </c>
      <c r="I35" s="17">
        <v>0</v>
      </c>
      <c r="J35" s="17">
        <v>10</v>
      </c>
      <c r="K35" s="17">
        <v>41</v>
      </c>
      <c r="L35" s="17">
        <v>62</v>
      </c>
      <c r="M35" s="17">
        <v>65</v>
      </c>
      <c r="N35" s="17">
        <v>88</v>
      </c>
      <c r="O35" s="17">
        <v>84</v>
      </c>
      <c r="P35" s="17">
        <v>83</v>
      </c>
      <c r="Q35" s="17">
        <v>104</v>
      </c>
      <c r="R35" s="17">
        <v>114</v>
      </c>
      <c r="S35" s="17">
        <v>141</v>
      </c>
      <c r="T35" s="17">
        <v>142</v>
      </c>
      <c r="U35" s="17">
        <v>104</v>
      </c>
      <c r="V35" s="17">
        <v>138</v>
      </c>
      <c r="W35" s="17">
        <v>190</v>
      </c>
      <c r="X35" s="17">
        <v>242</v>
      </c>
      <c r="Y35" s="17">
        <v>258</v>
      </c>
      <c r="Z35" s="17">
        <v>320</v>
      </c>
      <c r="AA35" s="17">
        <v>340</v>
      </c>
      <c r="AB35" s="18">
        <v>282</v>
      </c>
      <c r="AC35" s="18">
        <v>338</v>
      </c>
      <c r="AD35" s="18">
        <v>282</v>
      </c>
      <c r="AE35" s="18">
        <v>402</v>
      </c>
      <c r="AF35" s="44">
        <f t="shared" si="7"/>
        <v>3830</v>
      </c>
      <c r="AG35" s="35">
        <v>79.558000000000007</v>
      </c>
      <c r="AH35" s="44">
        <f t="shared" si="2"/>
        <v>304707.14</v>
      </c>
      <c r="AI35" s="60">
        <f t="shared" si="8"/>
        <v>6.5645463785934668</v>
      </c>
      <c r="AJ35" s="60">
        <f t="shared" si="9"/>
        <v>1312909.2757186934</v>
      </c>
      <c r="AK35" s="60">
        <f t="shared" si="10"/>
        <v>16502.542493761699</v>
      </c>
      <c r="AL35" s="11">
        <f t="shared" si="17"/>
        <v>2650.9040243021186</v>
      </c>
      <c r="AM35" s="9"/>
      <c r="AO35" s="22">
        <f>[1]საპენსიო!D26</f>
        <v>2.034782608695652</v>
      </c>
      <c r="AP35" s="22">
        <f>[1]შშმპ!D24</f>
        <v>2.1153846153846154</v>
      </c>
      <c r="AQ35" s="23">
        <f t="shared" si="11"/>
        <v>2.0750836120401335</v>
      </c>
      <c r="AR35" s="23">
        <f t="shared" si="12"/>
        <v>0.51877090301003337</v>
      </c>
      <c r="AS35" s="23">
        <f t="shared" si="13"/>
        <v>6.2252508361204004</v>
      </c>
      <c r="AT35" s="9"/>
      <c r="AU35" s="21">
        <v>2530</v>
      </c>
    </row>
    <row r="36" spans="1:47" ht="45" customHeight="1">
      <c r="A36" s="25">
        <v>35</v>
      </c>
      <c r="B36" s="25" t="s">
        <v>119</v>
      </c>
      <c r="C36" s="25" t="s">
        <v>120</v>
      </c>
      <c r="D36" s="33" t="s">
        <v>121</v>
      </c>
      <c r="E36" s="16">
        <f>AVERAGE(J36:N36)</f>
        <v>458.2</v>
      </c>
      <c r="F36" s="16">
        <f>AVERAGE(O36:V36)</f>
        <v>496.5</v>
      </c>
      <c r="G36" s="16">
        <f t="shared" si="5"/>
        <v>733</v>
      </c>
      <c r="H36" s="16">
        <f t="shared" si="6"/>
        <v>713</v>
      </c>
      <c r="I36" s="17">
        <v>401</v>
      </c>
      <c r="J36" s="17">
        <f>101+62</f>
        <v>163</v>
      </c>
      <c r="K36" s="17">
        <f>18+30+176</f>
        <v>224</v>
      </c>
      <c r="L36" s="17">
        <f>25+8+1017</f>
        <v>1050</v>
      </c>
      <c r="M36" s="17">
        <v>539</v>
      </c>
      <c r="N36" s="17">
        <v>315</v>
      </c>
      <c r="O36" s="17">
        <v>419</v>
      </c>
      <c r="P36" s="17">
        <v>564</v>
      </c>
      <c r="Q36" s="17">
        <v>377</v>
      </c>
      <c r="R36" s="17">
        <v>511</v>
      </c>
      <c r="S36" s="17">
        <v>477</v>
      </c>
      <c r="T36" s="17">
        <v>435</v>
      </c>
      <c r="U36" s="17">
        <v>530</v>
      </c>
      <c r="V36" s="17">
        <v>659</v>
      </c>
      <c r="W36" s="17">
        <v>515</v>
      </c>
      <c r="X36" s="17">
        <v>837</v>
      </c>
      <c r="Y36" s="17">
        <v>827</v>
      </c>
      <c r="Z36" s="17">
        <v>753</v>
      </c>
      <c r="AA36" s="17">
        <v>1084</v>
      </c>
      <c r="AB36" s="18">
        <v>482</v>
      </c>
      <c r="AC36" s="18">
        <v>611</v>
      </c>
      <c r="AD36" s="18">
        <v>675</v>
      </c>
      <c r="AE36" s="18">
        <v>782</v>
      </c>
      <c r="AF36" s="44">
        <f t="shared" si="7"/>
        <v>13230</v>
      </c>
      <c r="AG36" s="39">
        <v>0.36980000000000002</v>
      </c>
      <c r="AH36" s="44">
        <f t="shared" si="2"/>
        <v>4892.4540000000006</v>
      </c>
      <c r="AI36" s="60">
        <f t="shared" si="8"/>
        <v>0.10540199743312585</v>
      </c>
      <c r="AJ36" s="60">
        <f t="shared" si="9"/>
        <v>21080.399486625171</v>
      </c>
      <c r="AK36" s="60">
        <f t="shared" si="10"/>
        <v>57004.866107693808</v>
      </c>
      <c r="AL36" s="11">
        <f t="shared" si="17"/>
        <v>1334.3651963246743</v>
      </c>
      <c r="AM36" s="9"/>
      <c r="AO36" s="22">
        <f>[1]საპენსიო!D24</f>
        <v>14.980392156862745</v>
      </c>
      <c r="AP36" s="22">
        <f>[1]შშმპ!D21</f>
        <v>13.5</v>
      </c>
      <c r="AQ36" s="23">
        <f t="shared" si="11"/>
        <v>14.240196078431373</v>
      </c>
      <c r="AR36" s="23">
        <f t="shared" si="12"/>
        <v>3.5600490196078431</v>
      </c>
      <c r="AS36" s="23">
        <f t="shared" si="13"/>
        <v>42.720588235294116</v>
      </c>
      <c r="AT36" s="9"/>
      <c r="AU36" s="21">
        <v>8533</v>
      </c>
    </row>
    <row r="37" spans="1:47" ht="24.75">
      <c r="A37" s="25">
        <v>36</v>
      </c>
      <c r="B37" s="47" t="s">
        <v>122</v>
      </c>
      <c r="C37" s="48" t="s">
        <v>123</v>
      </c>
      <c r="D37" s="49" t="s">
        <v>81</v>
      </c>
      <c r="E37" s="16"/>
      <c r="F37" s="16"/>
      <c r="G37" s="16">
        <f t="shared" si="5"/>
        <v>12111</v>
      </c>
      <c r="H37" s="16">
        <f t="shared" si="6"/>
        <v>40549.5</v>
      </c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17">
        <v>12111</v>
      </c>
      <c r="AA37" s="17">
        <v>37545</v>
      </c>
      <c r="AB37" s="18">
        <v>37213</v>
      </c>
      <c r="AC37" s="18">
        <v>44342</v>
      </c>
      <c r="AD37" s="18">
        <v>43098</v>
      </c>
      <c r="AE37" s="18">
        <v>63053</v>
      </c>
      <c r="AF37" s="44">
        <f t="shared" si="7"/>
        <v>237362</v>
      </c>
      <c r="AG37" s="46">
        <v>0.57999999999999996</v>
      </c>
      <c r="AH37" s="44">
        <f t="shared" si="2"/>
        <v>137669.96</v>
      </c>
      <c r="AI37" s="60">
        <f t="shared" si="8"/>
        <v>2.9659325914027064</v>
      </c>
      <c r="AJ37" s="60">
        <f t="shared" si="9"/>
        <v>593186.51828054129</v>
      </c>
      <c r="AK37" s="60">
        <f t="shared" si="10"/>
        <v>1022735.3763457609</v>
      </c>
      <c r="AL37" s="11">
        <f t="shared" si="17"/>
        <v>2862.1906255341605</v>
      </c>
      <c r="AM37" s="9"/>
      <c r="AO37" s="22">
        <f>[1]საპენსიო!D34</f>
        <v>128.21739130434781</v>
      </c>
      <c r="AP37" s="22">
        <f>[1]შშმპ!D35</f>
        <v>110</v>
      </c>
      <c r="AQ37" s="23">
        <f t="shared" si="11"/>
        <v>119.10869565217391</v>
      </c>
      <c r="AR37" s="23">
        <f t="shared" si="12"/>
        <v>29.777173913043477</v>
      </c>
      <c r="AS37" s="23">
        <f t="shared" si="13"/>
        <v>357.32608695652175</v>
      </c>
      <c r="AT37" s="9"/>
      <c r="AU37" s="21">
        <v>310319</v>
      </c>
    </row>
    <row r="38" spans="1:47" ht="36.75">
      <c r="A38" s="25">
        <v>37</v>
      </c>
      <c r="B38" s="47" t="s">
        <v>124</v>
      </c>
      <c r="C38" s="48" t="s">
        <v>125</v>
      </c>
      <c r="D38" s="49" t="s">
        <v>98</v>
      </c>
      <c r="E38" s="16"/>
      <c r="F38" s="16"/>
      <c r="G38" s="16">
        <f t="shared" si="5"/>
        <v>2522</v>
      </c>
      <c r="H38" s="16">
        <f t="shared" si="6"/>
        <v>13491.75</v>
      </c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17">
        <v>2522</v>
      </c>
      <c r="AA38" s="17">
        <v>11386</v>
      </c>
      <c r="AB38" s="18">
        <v>12128</v>
      </c>
      <c r="AC38" s="18">
        <v>16396</v>
      </c>
      <c r="AD38" s="18">
        <v>14057</v>
      </c>
      <c r="AE38" s="18">
        <v>20434</v>
      </c>
      <c r="AF38" s="44">
        <f t="shared" si="7"/>
        <v>76923</v>
      </c>
      <c r="AG38" s="46">
        <v>0.39</v>
      </c>
      <c r="AH38" s="44">
        <f t="shared" si="2"/>
        <v>29999.97</v>
      </c>
      <c r="AI38" s="60">
        <f t="shared" si="8"/>
        <v>0.64631302837673132</v>
      </c>
      <c r="AJ38" s="60">
        <f t="shared" si="9"/>
        <v>129262.60567534628</v>
      </c>
      <c r="AK38" s="60">
        <f t="shared" si="10"/>
        <v>331442.57865473401</v>
      </c>
      <c r="AL38" s="11">
        <f t="shared" si="17"/>
        <v>817.77098113677289</v>
      </c>
      <c r="AM38" s="9"/>
      <c r="AO38" s="22">
        <f>[1]საპენსიო!D33</f>
        <v>170.2</v>
      </c>
      <c r="AP38" s="22">
        <f>[1]შშმპ!D34</f>
        <v>100</v>
      </c>
      <c r="AQ38" s="23">
        <f t="shared" si="11"/>
        <v>135.1</v>
      </c>
      <c r="AR38" s="23">
        <f t="shared" si="12"/>
        <v>33.774999999999999</v>
      </c>
      <c r="AS38" s="23">
        <f t="shared" si="13"/>
        <v>405.29999999999995</v>
      </c>
      <c r="AT38" s="9"/>
      <c r="AU38" s="21">
        <v>194503</v>
      </c>
    </row>
    <row r="39" spans="1:47" ht="24.75">
      <c r="A39" s="25">
        <v>38</v>
      </c>
      <c r="B39" s="50" t="s">
        <v>126</v>
      </c>
      <c r="C39" s="48" t="s">
        <v>127</v>
      </c>
      <c r="D39" s="49" t="s">
        <v>128</v>
      </c>
      <c r="E39" s="16"/>
      <c r="F39" s="16"/>
      <c r="G39" s="16">
        <f t="shared" si="5"/>
        <v>2254</v>
      </c>
      <c r="H39" s="16">
        <f t="shared" si="6"/>
        <v>13798</v>
      </c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17">
        <v>2254</v>
      </c>
      <c r="AA39" s="17">
        <v>9669</v>
      </c>
      <c r="AB39" s="18">
        <v>16679</v>
      </c>
      <c r="AC39" s="18">
        <v>15229</v>
      </c>
      <c r="AD39" s="18">
        <v>13615</v>
      </c>
      <c r="AE39" s="18">
        <v>28108</v>
      </c>
      <c r="AF39" s="44">
        <f t="shared" si="7"/>
        <v>85554</v>
      </c>
      <c r="AG39" s="51">
        <v>0.70299999999999996</v>
      </c>
      <c r="AH39" s="44">
        <f t="shared" si="2"/>
        <v>60144.462</v>
      </c>
      <c r="AI39" s="60">
        <f t="shared" si="8"/>
        <v>1.295739608249916</v>
      </c>
      <c r="AJ39" s="60">
        <f t="shared" si="9"/>
        <v>259147.92164998318</v>
      </c>
      <c r="AK39" s="60">
        <f t="shared" si="10"/>
        <v>368631.46749641991</v>
      </c>
      <c r="AL39" s="11">
        <f t="shared" si="17"/>
        <v>1007.1898019027866</v>
      </c>
      <c r="AM39" s="9"/>
      <c r="AO39" s="22">
        <f>[1]საპენსიო!D32</f>
        <v>30</v>
      </c>
      <c r="AP39" s="22">
        <f>[1]შშმპ!D33</f>
        <v>214</v>
      </c>
      <c r="AQ39" s="23">
        <f t="shared" si="11"/>
        <v>122</v>
      </c>
      <c r="AR39" s="23">
        <f t="shared" si="12"/>
        <v>30.5</v>
      </c>
      <c r="AS39" s="23">
        <f t="shared" si="13"/>
        <v>366</v>
      </c>
      <c r="AT39" s="9"/>
      <c r="AU39" s="21">
        <v>1841431</v>
      </c>
    </row>
    <row r="40" spans="1:47">
      <c r="A40" s="25">
        <v>39</v>
      </c>
      <c r="B40" s="50" t="s">
        <v>129</v>
      </c>
      <c r="C40" s="48" t="s">
        <v>130</v>
      </c>
      <c r="D40" s="49" t="s">
        <v>131</v>
      </c>
      <c r="E40" s="16"/>
      <c r="F40" s="16"/>
      <c r="G40" s="16">
        <f t="shared" si="5"/>
        <v>3581</v>
      </c>
      <c r="H40" s="16">
        <f t="shared" si="6"/>
        <v>34071.75</v>
      </c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17">
        <v>3581</v>
      </c>
      <c r="AA40" s="17">
        <v>29394</v>
      </c>
      <c r="AB40" s="18">
        <v>42380</v>
      </c>
      <c r="AC40" s="18">
        <v>29080</v>
      </c>
      <c r="AD40" s="18">
        <v>35433</v>
      </c>
      <c r="AE40" s="18">
        <v>65558</v>
      </c>
      <c r="AF40" s="44">
        <f t="shared" si="7"/>
        <v>205426</v>
      </c>
      <c r="AG40" s="39">
        <v>6.9599999999999995E-2</v>
      </c>
      <c r="AH40" s="44">
        <f t="shared" si="2"/>
        <v>14297.649599999999</v>
      </c>
      <c r="AI40" s="60">
        <f t="shared" si="8"/>
        <v>0.30802554841372709</v>
      </c>
      <c r="AJ40" s="60">
        <f t="shared" si="9"/>
        <v>61605.109682745424</v>
      </c>
      <c r="AK40" s="60">
        <f t="shared" si="10"/>
        <v>885130.88624634233</v>
      </c>
      <c r="AL40" s="11">
        <f t="shared" si="17"/>
        <v>917.70957620149545</v>
      </c>
      <c r="AM40" s="9"/>
      <c r="AO40" s="22">
        <f>[1]საპენსიო!D36</f>
        <v>275</v>
      </c>
      <c r="AP40" s="22">
        <f>[1]შშმპ!D37</f>
        <v>368</v>
      </c>
      <c r="AQ40" s="23">
        <f t="shared" si="11"/>
        <v>321.5</v>
      </c>
      <c r="AR40" s="23">
        <f t="shared" si="12"/>
        <v>80.375</v>
      </c>
      <c r="AS40" s="23">
        <f t="shared" si="13"/>
        <v>964.5</v>
      </c>
      <c r="AT40" s="9"/>
      <c r="AU40" s="21">
        <v>948766</v>
      </c>
    </row>
    <row r="41" spans="1:47" ht="24.75">
      <c r="A41" s="25">
        <v>40</v>
      </c>
      <c r="B41" s="47" t="s">
        <v>132</v>
      </c>
      <c r="C41" s="48" t="s">
        <v>133</v>
      </c>
      <c r="D41" s="49" t="s">
        <v>134</v>
      </c>
      <c r="E41" s="16"/>
      <c r="F41" s="16"/>
      <c r="G41" s="16">
        <f t="shared" si="5"/>
        <v>92</v>
      </c>
      <c r="H41" s="16">
        <f t="shared" si="6"/>
        <v>5311</v>
      </c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17">
        <v>92</v>
      </c>
      <c r="AA41" s="17">
        <v>5662</v>
      </c>
      <c r="AB41" s="18">
        <v>3330</v>
      </c>
      <c r="AC41" s="18">
        <v>4580</v>
      </c>
      <c r="AD41" s="18">
        <v>7672</v>
      </c>
      <c r="AE41" s="18">
        <v>9578</v>
      </c>
      <c r="AF41" s="44">
        <f t="shared" si="7"/>
        <v>30914</v>
      </c>
      <c r="AG41" s="39">
        <f>0.0653*3.0274</f>
        <v>0.19768922</v>
      </c>
      <c r="AH41" s="44">
        <f t="shared" si="2"/>
        <v>6111.3645470800002</v>
      </c>
      <c r="AI41" s="60">
        <f t="shared" si="8"/>
        <v>0.1316619492598648</v>
      </c>
      <c r="AJ41" s="60">
        <f t="shared" si="9"/>
        <v>26332.389851972959</v>
      </c>
      <c r="AK41" s="60">
        <f t="shared" si="10"/>
        <v>133200.93959586142</v>
      </c>
      <c r="AL41" s="11">
        <f t="shared" si="17"/>
        <v>482.61209998500516</v>
      </c>
      <c r="AM41" s="9"/>
      <c r="AO41" s="22"/>
      <c r="AP41" s="22">
        <f>[1]შშმპ!D29</f>
        <v>92</v>
      </c>
      <c r="AQ41" s="23">
        <f t="shared" si="11"/>
        <v>92</v>
      </c>
      <c r="AR41" s="23">
        <f t="shared" si="12"/>
        <v>23</v>
      </c>
      <c r="AS41" s="23">
        <f t="shared" si="13"/>
        <v>276</v>
      </c>
      <c r="AT41" s="9"/>
      <c r="AU41" s="21">
        <v>235752</v>
      </c>
    </row>
    <row r="42" spans="1:47" ht="24.75">
      <c r="A42" s="25">
        <v>41</v>
      </c>
      <c r="B42" s="47" t="s">
        <v>135</v>
      </c>
      <c r="C42" s="48" t="s">
        <v>136</v>
      </c>
      <c r="D42" s="49" t="s">
        <v>98</v>
      </c>
      <c r="E42" s="16"/>
      <c r="F42" s="16"/>
      <c r="G42" s="16">
        <f t="shared" si="5"/>
        <v>276</v>
      </c>
      <c r="H42" s="16">
        <f t="shared" si="6"/>
        <v>13475.5</v>
      </c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17">
        <v>276</v>
      </c>
      <c r="AA42" s="17">
        <v>11673</v>
      </c>
      <c r="AB42" s="18">
        <v>12009</v>
      </c>
      <c r="AC42" s="18">
        <v>11266</v>
      </c>
      <c r="AD42" s="18">
        <v>18954</v>
      </c>
      <c r="AE42" s="18">
        <v>27322</v>
      </c>
      <c r="AF42" s="44">
        <f t="shared" si="7"/>
        <v>81500</v>
      </c>
      <c r="AG42" s="39">
        <f>0.0911*3.0274</f>
        <v>0.27579614000000002</v>
      </c>
      <c r="AH42" s="44">
        <f t="shared" si="2"/>
        <v>22477.385410000003</v>
      </c>
      <c r="AI42" s="60">
        <f t="shared" si="8"/>
        <v>0.4842480520589873</v>
      </c>
      <c r="AJ42" s="60">
        <f t="shared" si="9"/>
        <v>96849.610411797461</v>
      </c>
      <c r="AK42" s="60">
        <f t="shared" si="10"/>
        <v>351163.76324845391</v>
      </c>
      <c r="AL42" s="11">
        <f t="shared" si="17"/>
        <v>1300.6065305498294</v>
      </c>
      <c r="AM42" s="9"/>
      <c r="AO42" s="22"/>
      <c r="AP42" s="22">
        <f>[1]შშმპ!D30</f>
        <v>90</v>
      </c>
      <c r="AQ42" s="23">
        <f t="shared" si="11"/>
        <v>90</v>
      </c>
      <c r="AR42" s="23">
        <f t="shared" si="12"/>
        <v>22.5</v>
      </c>
      <c r="AS42" s="23">
        <f t="shared" si="13"/>
        <v>270</v>
      </c>
      <c r="AT42" s="9"/>
      <c r="AU42" s="21">
        <v>1175322</v>
      </c>
    </row>
    <row r="43" spans="1:47">
      <c r="A43" s="25">
        <v>42</v>
      </c>
      <c r="B43" s="50" t="s">
        <v>137</v>
      </c>
      <c r="C43" s="48" t="s">
        <v>138</v>
      </c>
      <c r="D43" s="49" t="s">
        <v>139</v>
      </c>
      <c r="E43" s="16"/>
      <c r="F43" s="16"/>
      <c r="G43" s="16"/>
      <c r="H43" s="16">
        <f t="shared" si="6"/>
        <v>2032</v>
      </c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17"/>
      <c r="AA43" s="17">
        <v>1803</v>
      </c>
      <c r="AB43" s="18">
        <v>1784</v>
      </c>
      <c r="AC43" s="18">
        <v>1724</v>
      </c>
      <c r="AD43" s="18">
        <v>2817</v>
      </c>
      <c r="AE43" s="18">
        <v>3408</v>
      </c>
      <c r="AF43" s="44">
        <f t="shared" si="7"/>
        <v>11536</v>
      </c>
      <c r="AG43" s="39">
        <v>1.0943000000000001</v>
      </c>
      <c r="AH43" s="44">
        <f t="shared" si="2"/>
        <v>12623.844800000001</v>
      </c>
      <c r="AI43" s="60">
        <f t="shared" si="8"/>
        <v>0.27196545071364575</v>
      </c>
      <c r="AJ43" s="60">
        <f t="shared" si="9"/>
        <v>54393.090142729154</v>
      </c>
      <c r="AK43" s="60">
        <f t="shared" si="10"/>
        <v>49705.830341523484</v>
      </c>
      <c r="AM43" s="9"/>
      <c r="AO43" s="22"/>
      <c r="AP43" s="22"/>
      <c r="AQ43" s="23"/>
      <c r="AR43" s="23">
        <f t="shared" si="12"/>
        <v>0</v>
      </c>
      <c r="AS43" s="23">
        <f t="shared" si="13"/>
        <v>0</v>
      </c>
      <c r="AT43" s="9"/>
      <c r="AU43" s="21">
        <v>449555</v>
      </c>
    </row>
    <row r="44" spans="1:47">
      <c r="A44" s="25">
        <v>43</v>
      </c>
      <c r="B44" s="50" t="s">
        <v>140</v>
      </c>
      <c r="C44" s="48" t="s">
        <v>141</v>
      </c>
      <c r="D44" s="49" t="s">
        <v>142</v>
      </c>
      <c r="E44" s="16"/>
      <c r="F44" s="16"/>
      <c r="G44" s="16">
        <f t="shared" si="5"/>
        <v>990</v>
      </c>
      <c r="H44" s="16">
        <f t="shared" si="6"/>
        <v>6296.5</v>
      </c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17">
        <v>990</v>
      </c>
      <c r="AA44" s="17">
        <v>2878</v>
      </c>
      <c r="AB44" s="18">
        <v>5373</v>
      </c>
      <c r="AC44" s="18">
        <v>6512</v>
      </c>
      <c r="AD44" s="18">
        <v>10423</v>
      </c>
      <c r="AE44" s="18">
        <v>8244</v>
      </c>
      <c r="AF44" s="44">
        <f t="shared" si="7"/>
        <v>34420</v>
      </c>
      <c r="AG44" s="46">
        <v>0.37</v>
      </c>
      <c r="AH44" s="44">
        <f t="shared" si="2"/>
        <v>12735.4</v>
      </c>
      <c r="AI44" s="60">
        <f t="shared" si="8"/>
        <v>0.27436877242173985</v>
      </c>
      <c r="AJ44" s="60">
        <f t="shared" si="9"/>
        <v>54873.75448434797</v>
      </c>
      <c r="AK44" s="60">
        <f>AJ44/AG44</f>
        <v>148307.44455229182</v>
      </c>
      <c r="AL44" s="11">
        <f>AK44/AS44</f>
        <v>366.19122111676995</v>
      </c>
      <c r="AM44" s="9"/>
      <c r="AO44" s="22"/>
      <c r="AP44" s="22">
        <f>[1]შშმპ!D32</f>
        <v>135</v>
      </c>
      <c r="AQ44" s="23">
        <f t="shared" si="11"/>
        <v>135</v>
      </c>
      <c r="AR44" s="23">
        <f t="shared" si="12"/>
        <v>33.75</v>
      </c>
      <c r="AS44" s="23">
        <f t="shared" si="13"/>
        <v>405</v>
      </c>
      <c r="AT44" s="9"/>
      <c r="AU44" s="21">
        <v>165836</v>
      </c>
    </row>
    <row r="45" spans="1:47">
      <c r="E45" s="16"/>
      <c r="F45" s="52"/>
      <c r="G45" s="52"/>
      <c r="H45" s="52"/>
      <c r="AB45" s="54"/>
      <c r="AC45" s="54"/>
      <c r="AD45" s="54"/>
      <c r="AE45" s="54"/>
      <c r="AF45" s="24"/>
      <c r="AH45" s="19">
        <f>SUM(AH3:AH44)</f>
        <v>4641708.9990197802</v>
      </c>
      <c r="AJ45" s="11">
        <v>20000000</v>
      </c>
      <c r="AL45" s="11">
        <f>SUM(AL3:AL44)</f>
        <v>520863.60303882038</v>
      </c>
      <c r="AM45" s="9"/>
      <c r="AT45" s="9"/>
    </row>
  </sheetData>
  <mergeCells count="1">
    <mergeCell ref="A3:A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ბენეფიციარები</vt:lpstr>
      <vt:lpstr>ჯამური ბიუჯეტი</vt:lpstr>
      <vt:lpstr>ხარჯი ერთ პაციენტზე გათვლით</vt:lpstr>
      <vt:lpstr>გულ-სისხლძარღვთა-პროგნოზი</vt:lpstr>
      <vt:lpstr>პარკინსონი-ეპილეფსია-პროგნოზი</vt:lpstr>
      <vt:lpstr>ფილტვი-პროგნოზი</vt:lpstr>
      <vt:lpstr>დიაბეტი-პროგნოზი</vt:lpstr>
      <vt:lpstr>ფარისებრი-პროგნოზი</vt:lpstr>
      <vt:lpstr>მედიკამენტების ხარჯვა-არსებული</vt:lpstr>
      <vt:lpstr>მედიკამენტ ხარჯვა-მიმართულ-ჯამი</vt:lpstr>
      <vt:lpstr>მედიკამენტ.ხარჯვა-ჯამური</vt:lpstr>
      <vt:lpstr>მედიკამენტის ხარჯვა სტატუსის მი</vt:lpstr>
      <vt:lpstr>Sheet1</vt:lpstr>
      <vt:lpstr>ბენეფიც-ხარჯვა-ზოგ. ტენდენცია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2019-06-07T16:54:52Z</dcterms:modified>
</cp:coreProperties>
</file>